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bzinter.INTERNAL\Desktop\Barb\Town\"/>
    </mc:Choice>
  </mc:AlternateContent>
  <xr:revisionPtr revIDLastSave="0" documentId="13_ncr:1_{6063280F-BCC9-4FBE-9D58-172EFD0962D7}" xr6:coauthVersionLast="47" xr6:coauthVersionMax="47" xr10:uidLastSave="{00000000-0000-0000-0000-000000000000}"/>
  <bookViews>
    <workbookView xWindow="21480" yWindow="-120" windowWidth="21840" windowHeight="13140" firstSheet="8" activeTab="9" xr2:uid="{00000000-000D-0000-FFFF-FFFF00000000}"/>
  </bookViews>
  <sheets>
    <sheet name="January 2025" sheetId="1" r:id="rId1"/>
    <sheet name="February 2025" sheetId="2" r:id="rId2"/>
    <sheet name="March 2025" sheetId="3" r:id="rId3"/>
    <sheet name="April 2025" sheetId="4" r:id="rId4"/>
    <sheet name="May 2025" sheetId="5" r:id="rId5"/>
    <sheet name="June 2025" sheetId="6" r:id="rId6"/>
    <sheet name="July 2025" sheetId="7" r:id="rId7"/>
    <sheet name="August 2025" sheetId="8" r:id="rId8"/>
    <sheet name="September 2025" sheetId="9" r:id="rId9"/>
    <sheet name="October 2025" sheetId="10" r:id="rId10"/>
    <sheet name="November 2025" sheetId="11" r:id="rId11"/>
    <sheet name="December 2024" sheetId="12" r:id="rId12"/>
    <sheet name="December 2025" sheetId="13" r:id="rId13"/>
    <sheet name="Variances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8" roundtripDataChecksum="qzFVIoSYI0d1ASA83jOfJdsA05JhNBU6HWFflSc5JUk="/>
    </ext>
  </extLst>
</workbook>
</file>

<file path=xl/calcChain.xml><?xml version="1.0" encoding="utf-8"?>
<calcChain xmlns="http://schemas.openxmlformats.org/spreadsheetml/2006/main">
  <c r="C67" i="10" l="1"/>
  <c r="I67" i="10" s="1"/>
  <c r="F20" i="10"/>
  <c r="E20" i="10"/>
  <c r="B20" i="10" s="1"/>
  <c r="D20" i="10"/>
  <c r="C20" i="10"/>
  <c r="C27" i="10" s="1"/>
  <c r="L33" i="10"/>
  <c r="K33" i="10"/>
  <c r="J33" i="10"/>
  <c r="F33" i="10"/>
  <c r="E33" i="10"/>
  <c r="D33" i="10"/>
  <c r="C33" i="10"/>
  <c r="C91" i="10"/>
  <c r="D66" i="10" s="1"/>
  <c r="J89" i="10"/>
  <c r="J84" i="10"/>
  <c r="D69" i="10" s="1"/>
  <c r="D83" i="10"/>
  <c r="E79" i="10"/>
  <c r="E69" i="10"/>
  <c r="E67" i="10"/>
  <c r="D67" i="10"/>
  <c r="E66" i="10"/>
  <c r="A64" i="10"/>
  <c r="M54" i="10"/>
  <c r="B54" i="10" s="1"/>
  <c r="B43" i="10"/>
  <c r="L42" i="10"/>
  <c r="K42" i="10"/>
  <c r="J42" i="10"/>
  <c r="I42" i="10"/>
  <c r="H42" i="10"/>
  <c r="G42" i="10"/>
  <c r="F42" i="10"/>
  <c r="B41" i="10"/>
  <c r="B40" i="10"/>
  <c r="B39" i="10"/>
  <c r="B38" i="10"/>
  <c r="E42" i="10"/>
  <c r="D42" i="10"/>
  <c r="B37" i="10"/>
  <c r="I33" i="10"/>
  <c r="B31" i="10"/>
  <c r="B30" i="10"/>
  <c r="B29" i="10"/>
  <c r="B28" i="10"/>
  <c r="N27" i="10"/>
  <c r="M27" i="10"/>
  <c r="L27" i="10"/>
  <c r="K27" i="10"/>
  <c r="J27" i="10"/>
  <c r="I27" i="10"/>
  <c r="H27" i="10"/>
  <c r="G27" i="10"/>
  <c r="F27" i="10"/>
  <c r="E27" i="10"/>
  <c r="D27" i="10"/>
  <c r="B21" i="10"/>
  <c r="B19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H10" i="10"/>
  <c r="H32" i="10" s="1"/>
  <c r="N7" i="10"/>
  <c r="N10" i="10" s="1"/>
  <c r="N32" i="10" s="1"/>
  <c r="M7" i="10"/>
  <c r="M10" i="10" s="1"/>
  <c r="L7" i="10"/>
  <c r="L10" i="10" s="1"/>
  <c r="K7" i="10"/>
  <c r="K10" i="10" s="1"/>
  <c r="K32" i="10" s="1"/>
  <c r="K60" i="10" s="1"/>
  <c r="K62" i="10" s="1"/>
  <c r="J7" i="10"/>
  <c r="J10" i="10" s="1"/>
  <c r="J32" i="10" s="1"/>
  <c r="I7" i="10"/>
  <c r="I10" i="10" s="1"/>
  <c r="I32" i="10" s="1"/>
  <c r="I60" i="10" s="1"/>
  <c r="I62" i="10" s="1"/>
  <c r="H7" i="10"/>
  <c r="G7" i="10"/>
  <c r="G10" i="10" s="1"/>
  <c r="G32" i="10" s="1"/>
  <c r="F7" i="10"/>
  <c r="F10" i="10" s="1"/>
  <c r="E7" i="10"/>
  <c r="E10" i="10" s="1"/>
  <c r="D7" i="10"/>
  <c r="D10" i="10" s="1"/>
  <c r="C7" i="10"/>
  <c r="C10" i="10" s="1"/>
  <c r="B7" i="10"/>
  <c r="P14" i="14"/>
  <c r="Q14" i="14" s="1"/>
  <c r="N14" i="14"/>
  <c r="O14" i="14" s="1"/>
  <c r="M14" i="14"/>
  <c r="L14" i="14"/>
  <c r="J14" i="14"/>
  <c r="K14" i="14" s="1"/>
  <c r="H14" i="14"/>
  <c r="I14" i="14" s="1"/>
  <c r="F14" i="14"/>
  <c r="B14" i="14" s="1"/>
  <c r="C14" i="14" s="1"/>
  <c r="D14" i="14"/>
  <c r="E14" i="14" s="1"/>
  <c r="Q13" i="14"/>
  <c r="P13" i="14"/>
  <c r="N13" i="14"/>
  <c r="O13" i="14" s="1"/>
  <c r="L13" i="14"/>
  <c r="M13" i="14" s="1"/>
  <c r="J13" i="14"/>
  <c r="K13" i="14" s="1"/>
  <c r="H13" i="14"/>
  <c r="I13" i="14" s="1"/>
  <c r="F13" i="14"/>
  <c r="G13" i="14" s="1"/>
  <c r="E13" i="14"/>
  <c r="D13" i="14"/>
  <c r="B13" i="14" s="1"/>
  <c r="C13" i="14" s="1"/>
  <c r="P12" i="14"/>
  <c r="Q12" i="14" s="1"/>
  <c r="N12" i="14"/>
  <c r="O12" i="14" s="1"/>
  <c r="L12" i="14"/>
  <c r="M12" i="14" s="1"/>
  <c r="J12" i="14"/>
  <c r="K12" i="14" s="1"/>
  <c r="I12" i="14"/>
  <c r="H12" i="14"/>
  <c r="F12" i="14"/>
  <c r="G12" i="14" s="1"/>
  <c r="D12" i="14"/>
  <c r="E12" i="14" s="1"/>
  <c r="B12" i="14"/>
  <c r="P11" i="14"/>
  <c r="Q11" i="14" s="1"/>
  <c r="N11" i="14"/>
  <c r="O11" i="14" s="1"/>
  <c r="M11" i="14"/>
  <c r="L11" i="14"/>
  <c r="J11" i="14"/>
  <c r="K11" i="14" s="1"/>
  <c r="H11" i="14"/>
  <c r="I11" i="14" s="1"/>
  <c r="F11" i="14"/>
  <c r="B11" i="14" s="1"/>
  <c r="D11" i="14"/>
  <c r="E11" i="14" s="1"/>
  <c r="Q10" i="14"/>
  <c r="P10" i="14"/>
  <c r="N10" i="14"/>
  <c r="O10" i="14" s="1"/>
  <c r="L10" i="14"/>
  <c r="M10" i="14" s="1"/>
  <c r="J10" i="14"/>
  <c r="K10" i="14" s="1"/>
  <c r="H10" i="14"/>
  <c r="I10" i="14" s="1"/>
  <c r="F10" i="14"/>
  <c r="G10" i="14" s="1"/>
  <c r="E10" i="14"/>
  <c r="D10" i="14"/>
  <c r="B10" i="14" s="1"/>
  <c r="C10" i="14" s="1"/>
  <c r="P9" i="14"/>
  <c r="Q9" i="14" s="1"/>
  <c r="N9" i="14"/>
  <c r="O9" i="14" s="1"/>
  <c r="L9" i="14"/>
  <c r="M9" i="14" s="1"/>
  <c r="J9" i="14"/>
  <c r="K9" i="14" s="1"/>
  <c r="I9" i="14"/>
  <c r="H9" i="14"/>
  <c r="F9" i="14"/>
  <c r="G9" i="14" s="1"/>
  <c r="D9" i="14"/>
  <c r="E9" i="14" s="1"/>
  <c r="B9" i="14"/>
  <c r="P8" i="14"/>
  <c r="N8" i="14"/>
  <c r="L8" i="14"/>
  <c r="J8" i="14"/>
  <c r="H8" i="14"/>
  <c r="F8" i="14"/>
  <c r="D8" i="14"/>
  <c r="P4" i="14"/>
  <c r="N4" i="14"/>
  <c r="L4" i="14"/>
  <c r="J4" i="14"/>
  <c r="H4" i="14"/>
  <c r="F4" i="14"/>
  <c r="D4" i="14"/>
  <c r="B4" i="14" s="1"/>
  <c r="P2" i="14"/>
  <c r="N2" i="14"/>
  <c r="L2" i="14"/>
  <c r="J2" i="14"/>
  <c r="H2" i="14"/>
  <c r="F2" i="14"/>
  <c r="B2" i="14" s="1"/>
  <c r="D2" i="14"/>
  <c r="B132" i="12"/>
  <c r="D86" i="12" s="1"/>
  <c r="G104" i="12"/>
  <c r="C103" i="12"/>
  <c r="D87" i="12" s="1"/>
  <c r="D99" i="12"/>
  <c r="D97" i="12"/>
  <c r="E89" i="12"/>
  <c r="D89" i="12"/>
  <c r="E87" i="12"/>
  <c r="H87" i="12" s="1"/>
  <c r="C87" i="12"/>
  <c r="E86" i="12"/>
  <c r="A84" i="12"/>
  <c r="B71" i="12"/>
  <c r="B70" i="12"/>
  <c r="D69" i="12"/>
  <c r="D73" i="12" s="1"/>
  <c r="B73" i="12" s="1"/>
  <c r="D80" i="12" s="1"/>
  <c r="B80" i="12" s="1"/>
  <c r="B69" i="12"/>
  <c r="E66" i="12"/>
  <c r="E79" i="12" s="1"/>
  <c r="C66" i="12"/>
  <c r="B66" i="12" s="1"/>
  <c r="B65" i="12"/>
  <c r="B64" i="12"/>
  <c r="B63" i="12"/>
  <c r="E62" i="12"/>
  <c r="C62" i="12"/>
  <c r="B62" i="12"/>
  <c r="G58" i="12"/>
  <c r="B58" i="12"/>
  <c r="B47" i="12"/>
  <c r="B45" i="12"/>
  <c r="B44" i="12"/>
  <c r="B43" i="12"/>
  <c r="E42" i="12"/>
  <c r="D42" i="12"/>
  <c r="D46" i="12" s="1"/>
  <c r="C42" i="12"/>
  <c r="B42" i="12" s="1"/>
  <c r="E41" i="12"/>
  <c r="E46" i="12" s="1"/>
  <c r="D41" i="12"/>
  <c r="C41" i="12"/>
  <c r="B41" i="12"/>
  <c r="G40" i="12"/>
  <c r="B40" i="12"/>
  <c r="B37" i="12"/>
  <c r="I36" i="12"/>
  <c r="I38" i="12" s="1"/>
  <c r="D36" i="12"/>
  <c r="D38" i="12" s="1"/>
  <c r="B35" i="12"/>
  <c r="B34" i="12"/>
  <c r="E33" i="12"/>
  <c r="D33" i="12"/>
  <c r="C33" i="12"/>
  <c r="B33" i="12" s="1"/>
  <c r="E32" i="12"/>
  <c r="D32" i="12"/>
  <c r="C32" i="12"/>
  <c r="B32" i="12"/>
  <c r="I31" i="12"/>
  <c r="H31" i="12"/>
  <c r="G31" i="12"/>
  <c r="F31" i="12"/>
  <c r="E31" i="12"/>
  <c r="D31" i="12"/>
  <c r="C31" i="12"/>
  <c r="B31" i="12" s="1"/>
  <c r="B25" i="12"/>
  <c r="B24" i="12"/>
  <c r="B23" i="12"/>
  <c r="I22" i="12"/>
  <c r="H22" i="12"/>
  <c r="H36" i="12" s="1"/>
  <c r="G22" i="12"/>
  <c r="F22" i="12"/>
  <c r="B22" i="12" s="1"/>
  <c r="E22" i="12"/>
  <c r="D22" i="12"/>
  <c r="C22" i="12"/>
  <c r="D20" i="12"/>
  <c r="I12" i="12"/>
  <c r="H12" i="12"/>
  <c r="F12" i="12"/>
  <c r="F36" i="12" s="1"/>
  <c r="E12" i="12"/>
  <c r="E36" i="12" s="1"/>
  <c r="D12" i="12"/>
  <c r="C12" i="12"/>
  <c r="C36" i="12" s="1"/>
  <c r="B12" i="12"/>
  <c r="I9" i="12"/>
  <c r="H9" i="12"/>
  <c r="G9" i="12"/>
  <c r="F9" i="12"/>
  <c r="E9" i="12"/>
  <c r="D9" i="12"/>
  <c r="C9" i="12"/>
  <c r="B9" i="12"/>
  <c r="C91" i="9"/>
  <c r="J89" i="9"/>
  <c r="J84" i="9"/>
  <c r="D69" i="9" s="1"/>
  <c r="D83" i="9"/>
  <c r="E79" i="9"/>
  <c r="E69" i="9"/>
  <c r="E67" i="9"/>
  <c r="I67" i="9" s="1"/>
  <c r="D67" i="9"/>
  <c r="C67" i="9"/>
  <c r="E66" i="9"/>
  <c r="D66" i="9"/>
  <c r="A64" i="9"/>
  <c r="M54" i="9"/>
  <c r="B54" i="9" s="1"/>
  <c r="B43" i="9"/>
  <c r="L42" i="9"/>
  <c r="K42" i="9"/>
  <c r="J42" i="9"/>
  <c r="I42" i="9"/>
  <c r="H42" i="9"/>
  <c r="G42" i="9"/>
  <c r="D42" i="9"/>
  <c r="B41" i="9"/>
  <c r="B40" i="9"/>
  <c r="B39" i="9"/>
  <c r="F38" i="9"/>
  <c r="E38" i="9"/>
  <c r="D38" i="9"/>
  <c r="C38" i="9"/>
  <c r="C42" i="9" s="1"/>
  <c r="F37" i="9"/>
  <c r="F42" i="9" s="1"/>
  <c r="E37" i="9"/>
  <c r="E42" i="9" s="1"/>
  <c r="D37" i="9"/>
  <c r="C37" i="9"/>
  <c r="B37" i="9" s="1"/>
  <c r="L33" i="9"/>
  <c r="K33" i="9"/>
  <c r="J33" i="9"/>
  <c r="I33" i="9"/>
  <c r="I34" i="9" s="1"/>
  <c r="P6" i="14" s="1"/>
  <c r="F33" i="9"/>
  <c r="E33" i="9"/>
  <c r="D33" i="9"/>
  <c r="C33" i="9"/>
  <c r="E32" i="9"/>
  <c r="E60" i="9" s="1"/>
  <c r="E62" i="9" s="1"/>
  <c r="B31" i="9"/>
  <c r="B30" i="9"/>
  <c r="F29" i="9"/>
  <c r="E29" i="9"/>
  <c r="D29" i="9"/>
  <c r="C29" i="9"/>
  <c r="B29" i="9" s="1"/>
  <c r="F28" i="9"/>
  <c r="E28" i="9"/>
  <c r="D28" i="9"/>
  <c r="C28" i="9"/>
  <c r="B28" i="9" s="1"/>
  <c r="N27" i="9"/>
  <c r="M27" i="9"/>
  <c r="L27" i="9"/>
  <c r="K27" i="9"/>
  <c r="J27" i="9"/>
  <c r="I27" i="9"/>
  <c r="H27" i="9"/>
  <c r="G27" i="9"/>
  <c r="F27" i="9"/>
  <c r="E27" i="9"/>
  <c r="D27" i="9"/>
  <c r="C27" i="9"/>
  <c r="B21" i="9"/>
  <c r="B20" i="9"/>
  <c r="B19" i="9"/>
  <c r="N18" i="9"/>
  <c r="M18" i="9"/>
  <c r="L18" i="9"/>
  <c r="K18" i="9"/>
  <c r="J18" i="9"/>
  <c r="I18" i="9"/>
  <c r="H18" i="9"/>
  <c r="G18" i="9"/>
  <c r="F18" i="9"/>
  <c r="E18" i="9"/>
  <c r="D18" i="9"/>
  <c r="C18" i="9"/>
  <c r="N10" i="9"/>
  <c r="N32" i="9" s="1"/>
  <c r="K10" i="9"/>
  <c r="K32" i="9" s="1"/>
  <c r="G10" i="9"/>
  <c r="G32" i="9" s="1"/>
  <c r="G60" i="9" s="1"/>
  <c r="G62" i="9" s="1"/>
  <c r="E10" i="9"/>
  <c r="D10" i="9"/>
  <c r="D32" i="9" s="1"/>
  <c r="D60" i="9" s="1"/>
  <c r="D62" i="9" s="1"/>
  <c r="N7" i="9"/>
  <c r="M7" i="9"/>
  <c r="B36" i="9" s="1"/>
  <c r="L7" i="9"/>
  <c r="L10" i="9" s="1"/>
  <c r="K7" i="9"/>
  <c r="J7" i="9"/>
  <c r="J10" i="9" s="1"/>
  <c r="I7" i="9"/>
  <c r="I10" i="9" s="1"/>
  <c r="I32" i="9" s="1"/>
  <c r="I60" i="9" s="1"/>
  <c r="I62" i="9" s="1"/>
  <c r="H7" i="9"/>
  <c r="H10" i="9" s="1"/>
  <c r="H32" i="9" s="1"/>
  <c r="G7" i="9"/>
  <c r="F7" i="9"/>
  <c r="F10" i="9" s="1"/>
  <c r="F32" i="9" s="1"/>
  <c r="E7" i="9"/>
  <c r="D7" i="9"/>
  <c r="C7" i="9"/>
  <c r="C10" i="9" s="1"/>
  <c r="B7" i="9"/>
  <c r="C91" i="8"/>
  <c r="D66" i="8" s="1"/>
  <c r="I66" i="8" s="1"/>
  <c r="J89" i="8"/>
  <c r="J84" i="8"/>
  <c r="D83" i="8"/>
  <c r="E79" i="8"/>
  <c r="E67" i="8" s="1"/>
  <c r="I67" i="8" s="1"/>
  <c r="E69" i="8"/>
  <c r="D69" i="8"/>
  <c r="D67" i="8"/>
  <c r="C67" i="8"/>
  <c r="F66" i="8"/>
  <c r="E66" i="8"/>
  <c r="A64" i="8"/>
  <c r="L60" i="8"/>
  <c r="L62" i="8" s="1"/>
  <c r="M54" i="8"/>
  <c r="B54" i="8"/>
  <c r="B43" i="8"/>
  <c r="L42" i="8"/>
  <c r="K42" i="8"/>
  <c r="J42" i="8"/>
  <c r="I42" i="8"/>
  <c r="H42" i="8"/>
  <c r="G42" i="8"/>
  <c r="F42" i="8"/>
  <c r="E42" i="8"/>
  <c r="D42" i="8"/>
  <c r="C42" i="8"/>
  <c r="B41" i="8"/>
  <c r="B40" i="8"/>
  <c r="B39" i="8"/>
  <c r="B38" i="8"/>
  <c r="B37" i="8"/>
  <c r="G34" i="8"/>
  <c r="L5" i="14" s="1"/>
  <c r="M5" i="14" s="1"/>
  <c r="L33" i="8"/>
  <c r="L34" i="8" s="1"/>
  <c r="K33" i="8"/>
  <c r="J33" i="8"/>
  <c r="I33" i="8"/>
  <c r="F33" i="8"/>
  <c r="E33" i="8"/>
  <c r="E34" i="8" s="1"/>
  <c r="H5" i="14" s="1"/>
  <c r="I5" i="14" s="1"/>
  <c r="D33" i="8"/>
  <c r="C33" i="8"/>
  <c r="L32" i="8"/>
  <c r="E32" i="8"/>
  <c r="E60" i="8" s="1"/>
  <c r="E62" i="8" s="1"/>
  <c r="B31" i="8"/>
  <c r="B30" i="8"/>
  <c r="B29" i="8"/>
  <c r="B28" i="8"/>
  <c r="N27" i="8"/>
  <c r="M27" i="8"/>
  <c r="L27" i="8"/>
  <c r="K27" i="8"/>
  <c r="J27" i="8"/>
  <c r="I27" i="8"/>
  <c r="H27" i="8"/>
  <c r="G27" i="8"/>
  <c r="F27" i="8"/>
  <c r="E27" i="8"/>
  <c r="D27" i="8"/>
  <c r="C27" i="8"/>
  <c r="B27" i="8" s="1"/>
  <c r="B21" i="8"/>
  <c r="B20" i="8"/>
  <c r="B19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N10" i="8"/>
  <c r="L10" i="8"/>
  <c r="I10" i="8"/>
  <c r="I32" i="8" s="1"/>
  <c r="E10" i="8"/>
  <c r="C10" i="8"/>
  <c r="N7" i="8"/>
  <c r="M7" i="8"/>
  <c r="M10" i="8" s="1"/>
  <c r="L7" i="8"/>
  <c r="K7" i="8"/>
  <c r="K10" i="8" s="1"/>
  <c r="K32" i="8" s="1"/>
  <c r="K60" i="8" s="1"/>
  <c r="K62" i="8" s="1"/>
  <c r="J7" i="8"/>
  <c r="J10" i="8" s="1"/>
  <c r="J32" i="8" s="1"/>
  <c r="I7" i="8"/>
  <c r="H7" i="8"/>
  <c r="H10" i="8" s="1"/>
  <c r="H32" i="8" s="1"/>
  <c r="G7" i="8"/>
  <c r="G10" i="8" s="1"/>
  <c r="G32" i="8" s="1"/>
  <c r="G60" i="8" s="1"/>
  <c r="G62" i="8" s="1"/>
  <c r="F7" i="8"/>
  <c r="F10" i="8" s="1"/>
  <c r="F32" i="8" s="1"/>
  <c r="F60" i="8" s="1"/>
  <c r="F62" i="8" s="1"/>
  <c r="E7" i="8"/>
  <c r="D7" i="8"/>
  <c r="D10" i="8" s="1"/>
  <c r="C7" i="8"/>
  <c r="B7" i="8"/>
  <c r="C101" i="7"/>
  <c r="J90" i="7"/>
  <c r="J84" i="7"/>
  <c r="D69" i="7" s="1"/>
  <c r="D83" i="7"/>
  <c r="D67" i="7" s="1"/>
  <c r="E79" i="7"/>
  <c r="E69" i="7"/>
  <c r="E67" i="7"/>
  <c r="I67" i="7" s="1"/>
  <c r="C67" i="7"/>
  <c r="E66" i="7"/>
  <c r="D66" i="7"/>
  <c r="A64" i="7"/>
  <c r="M54" i="7"/>
  <c r="B54" i="7" s="1"/>
  <c r="M52" i="7"/>
  <c r="B43" i="7"/>
  <c r="L42" i="7"/>
  <c r="K42" i="7"/>
  <c r="J42" i="7"/>
  <c r="I42" i="7"/>
  <c r="H42" i="7"/>
  <c r="G42" i="7"/>
  <c r="F42" i="7"/>
  <c r="E42" i="7"/>
  <c r="M42" i="7" s="1"/>
  <c r="B42" i="7" s="1"/>
  <c r="D42" i="7"/>
  <c r="C42" i="7"/>
  <c r="B41" i="7"/>
  <c r="B40" i="7"/>
  <c r="B39" i="7"/>
  <c r="B38" i="7"/>
  <c r="B37" i="7"/>
  <c r="L33" i="7"/>
  <c r="K33" i="7"/>
  <c r="J33" i="7"/>
  <c r="I33" i="7"/>
  <c r="F33" i="7"/>
  <c r="E33" i="7"/>
  <c r="D33" i="7"/>
  <c r="D34" i="7" s="1"/>
  <c r="C33" i="7"/>
  <c r="D32" i="7"/>
  <c r="D60" i="7" s="1"/>
  <c r="D62" i="7" s="1"/>
  <c r="B31" i="7"/>
  <c r="B30" i="7"/>
  <c r="B29" i="7"/>
  <c r="B28" i="7"/>
  <c r="N27" i="7"/>
  <c r="M27" i="7"/>
  <c r="L27" i="7"/>
  <c r="K27" i="7"/>
  <c r="J27" i="7"/>
  <c r="I27" i="7"/>
  <c r="H27" i="7"/>
  <c r="G27" i="7"/>
  <c r="F27" i="7"/>
  <c r="E27" i="7"/>
  <c r="D27" i="7"/>
  <c r="C27" i="7"/>
  <c r="B27" i="7" s="1"/>
  <c r="B21" i="7"/>
  <c r="B20" i="7"/>
  <c r="B19" i="7"/>
  <c r="N18" i="7"/>
  <c r="M18" i="7"/>
  <c r="L18" i="7"/>
  <c r="K18" i="7"/>
  <c r="J18" i="7"/>
  <c r="I18" i="7"/>
  <c r="H18" i="7"/>
  <c r="G18" i="7"/>
  <c r="F18" i="7"/>
  <c r="E18" i="7"/>
  <c r="D18" i="7"/>
  <c r="C18" i="7"/>
  <c r="N10" i="7"/>
  <c r="N32" i="7" s="1"/>
  <c r="M10" i="7"/>
  <c r="H10" i="7"/>
  <c r="H32" i="7" s="1"/>
  <c r="D10" i="7"/>
  <c r="N7" i="7"/>
  <c r="M7" i="7"/>
  <c r="B36" i="7" s="1"/>
  <c r="L7" i="7"/>
  <c r="L10" i="7" s="1"/>
  <c r="L32" i="7" s="1"/>
  <c r="L60" i="7" s="1"/>
  <c r="L62" i="7" s="1"/>
  <c r="K7" i="7"/>
  <c r="K10" i="7" s="1"/>
  <c r="K32" i="7" s="1"/>
  <c r="K60" i="7" s="1"/>
  <c r="K62" i="7" s="1"/>
  <c r="J7" i="7"/>
  <c r="J10" i="7" s="1"/>
  <c r="J32" i="7" s="1"/>
  <c r="J60" i="7" s="1"/>
  <c r="J62" i="7" s="1"/>
  <c r="I7" i="7"/>
  <c r="I10" i="7" s="1"/>
  <c r="I32" i="7" s="1"/>
  <c r="I60" i="7" s="1"/>
  <c r="I62" i="7" s="1"/>
  <c r="H7" i="7"/>
  <c r="G7" i="7"/>
  <c r="G10" i="7" s="1"/>
  <c r="F7" i="7"/>
  <c r="F10" i="7" s="1"/>
  <c r="F32" i="7" s="1"/>
  <c r="F60" i="7" s="1"/>
  <c r="F62" i="7" s="1"/>
  <c r="E7" i="7"/>
  <c r="E10" i="7" s="1"/>
  <c r="E32" i="7" s="1"/>
  <c r="E60" i="7" s="1"/>
  <c r="E62" i="7" s="1"/>
  <c r="D7" i="7"/>
  <c r="C7" i="7"/>
  <c r="C10" i="7" s="1"/>
  <c r="C32" i="7" s="1"/>
  <c r="B7" i="7"/>
  <c r="C101" i="6"/>
  <c r="D66" i="6" s="1"/>
  <c r="J90" i="6"/>
  <c r="E69" i="6" s="1"/>
  <c r="J84" i="6"/>
  <c r="D83" i="6"/>
  <c r="E79" i="6"/>
  <c r="E67" i="6" s="1"/>
  <c r="D69" i="6"/>
  <c r="D67" i="6"/>
  <c r="C67" i="6"/>
  <c r="E66" i="6"/>
  <c r="A64" i="6"/>
  <c r="M54" i="6"/>
  <c r="B54" i="6"/>
  <c r="M52" i="6"/>
  <c r="B43" i="6"/>
  <c r="L42" i="6"/>
  <c r="K42" i="6"/>
  <c r="J42" i="6"/>
  <c r="I42" i="6"/>
  <c r="H42" i="6"/>
  <c r="G42" i="6"/>
  <c r="F42" i="6"/>
  <c r="E42" i="6"/>
  <c r="D42" i="6"/>
  <c r="C42" i="6"/>
  <c r="M42" i="6" s="1"/>
  <c r="B42" i="6" s="1"/>
  <c r="B41" i="6"/>
  <c r="B40" i="6"/>
  <c r="B39" i="6"/>
  <c r="B38" i="6"/>
  <c r="B37" i="6"/>
  <c r="K34" i="6"/>
  <c r="E34" i="6"/>
  <c r="L33" i="6"/>
  <c r="K33" i="6"/>
  <c r="J33" i="6"/>
  <c r="J34" i="6" s="1"/>
  <c r="I33" i="6"/>
  <c r="F33" i="6"/>
  <c r="E33" i="6"/>
  <c r="D33" i="6"/>
  <c r="C33" i="6"/>
  <c r="B31" i="6"/>
  <c r="B30" i="6"/>
  <c r="B29" i="6"/>
  <c r="B28" i="6"/>
  <c r="N27" i="6"/>
  <c r="M27" i="6"/>
  <c r="K27" i="6"/>
  <c r="J27" i="6"/>
  <c r="I27" i="6"/>
  <c r="H27" i="6"/>
  <c r="G27" i="6"/>
  <c r="F27" i="6"/>
  <c r="E27" i="6"/>
  <c r="D27" i="6"/>
  <c r="C27" i="6"/>
  <c r="B27" i="6"/>
  <c r="L22" i="6"/>
  <c r="L27" i="6" s="1"/>
  <c r="B21" i="6"/>
  <c r="B20" i="6"/>
  <c r="B19" i="6"/>
  <c r="N18" i="6"/>
  <c r="M18" i="6"/>
  <c r="L18" i="6"/>
  <c r="K18" i="6"/>
  <c r="J18" i="6"/>
  <c r="I18" i="6"/>
  <c r="H18" i="6"/>
  <c r="G18" i="6"/>
  <c r="F18" i="6"/>
  <c r="E18" i="6"/>
  <c r="D18" i="6"/>
  <c r="C18" i="6"/>
  <c r="N10" i="6"/>
  <c r="N32" i="6" s="1"/>
  <c r="H10" i="6"/>
  <c r="H32" i="6" s="1"/>
  <c r="D10" i="6"/>
  <c r="D32" i="6" s="1"/>
  <c r="N7" i="6"/>
  <c r="M7" i="6"/>
  <c r="M10" i="6" s="1"/>
  <c r="L7" i="6"/>
  <c r="L10" i="6" s="1"/>
  <c r="L32" i="6" s="1"/>
  <c r="K7" i="6"/>
  <c r="K10" i="6" s="1"/>
  <c r="K32" i="6" s="1"/>
  <c r="K60" i="6" s="1"/>
  <c r="K62" i="6" s="1"/>
  <c r="J7" i="6"/>
  <c r="J10" i="6" s="1"/>
  <c r="J32" i="6" s="1"/>
  <c r="J60" i="6" s="1"/>
  <c r="J62" i="6" s="1"/>
  <c r="I7" i="6"/>
  <c r="I10" i="6" s="1"/>
  <c r="I32" i="6" s="1"/>
  <c r="H7" i="6"/>
  <c r="G7" i="6"/>
  <c r="G10" i="6" s="1"/>
  <c r="F7" i="6"/>
  <c r="F10" i="6" s="1"/>
  <c r="F32" i="6" s="1"/>
  <c r="E7" i="6"/>
  <c r="E10" i="6" s="1"/>
  <c r="E32" i="6" s="1"/>
  <c r="D7" i="6"/>
  <c r="C7" i="6"/>
  <c r="C10" i="6" s="1"/>
  <c r="C32" i="6" s="1"/>
  <c r="B7" i="6"/>
  <c r="C103" i="5"/>
  <c r="D68" i="5" s="1"/>
  <c r="J92" i="5"/>
  <c r="E71" i="5" s="1"/>
  <c r="J86" i="5"/>
  <c r="D85" i="5"/>
  <c r="E81" i="5"/>
  <c r="E69" i="5" s="1"/>
  <c r="D71" i="5"/>
  <c r="D69" i="5"/>
  <c r="C69" i="5"/>
  <c r="E68" i="5"/>
  <c r="A66" i="5"/>
  <c r="M56" i="5"/>
  <c r="B56" i="5"/>
  <c r="B45" i="5"/>
  <c r="L44" i="5"/>
  <c r="K44" i="5"/>
  <c r="J44" i="5"/>
  <c r="I44" i="5"/>
  <c r="H44" i="5"/>
  <c r="G44" i="5"/>
  <c r="F44" i="5"/>
  <c r="E44" i="5"/>
  <c r="D44" i="5"/>
  <c r="C44" i="5"/>
  <c r="M44" i="5" s="1"/>
  <c r="B44" i="5" s="1"/>
  <c r="B43" i="5"/>
  <c r="B42" i="5"/>
  <c r="B41" i="5"/>
  <c r="B40" i="5"/>
  <c r="B39" i="5"/>
  <c r="L35" i="5"/>
  <c r="K35" i="5"/>
  <c r="J35" i="5"/>
  <c r="I35" i="5"/>
  <c r="F35" i="5"/>
  <c r="E35" i="5"/>
  <c r="D35" i="5"/>
  <c r="C35" i="5"/>
  <c r="N34" i="5"/>
  <c r="B33" i="5"/>
  <c r="B32" i="5"/>
  <c r="B31" i="5"/>
  <c r="B30" i="5"/>
  <c r="N29" i="5"/>
  <c r="M29" i="5"/>
  <c r="L29" i="5"/>
  <c r="K29" i="5"/>
  <c r="J29" i="5"/>
  <c r="I29" i="5"/>
  <c r="H29" i="5"/>
  <c r="G29" i="5"/>
  <c r="D29" i="5"/>
  <c r="B23" i="5"/>
  <c r="F22" i="5"/>
  <c r="F29" i="5" s="1"/>
  <c r="E22" i="5"/>
  <c r="E29" i="5" s="1"/>
  <c r="D22" i="5"/>
  <c r="C22" i="5"/>
  <c r="B22" i="5" s="1"/>
  <c r="B21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 s="1"/>
  <c r="J10" i="5"/>
  <c r="J34" i="5" s="1"/>
  <c r="J62" i="5" s="1"/>
  <c r="J64" i="5" s="1"/>
  <c r="F10" i="5"/>
  <c r="D10" i="5"/>
  <c r="D34" i="5" s="1"/>
  <c r="D62" i="5" s="1"/>
  <c r="D64" i="5" s="1"/>
  <c r="N7" i="5"/>
  <c r="N10" i="5" s="1"/>
  <c r="M7" i="5"/>
  <c r="B38" i="5" s="1"/>
  <c r="L7" i="5"/>
  <c r="L10" i="5" s="1"/>
  <c r="L34" i="5" s="1"/>
  <c r="L62" i="5" s="1"/>
  <c r="L64" i="5" s="1"/>
  <c r="K7" i="5"/>
  <c r="K10" i="5" s="1"/>
  <c r="K34" i="5" s="1"/>
  <c r="J7" i="5"/>
  <c r="I7" i="5"/>
  <c r="I10" i="5" s="1"/>
  <c r="H7" i="5"/>
  <c r="H10" i="5" s="1"/>
  <c r="H34" i="5" s="1"/>
  <c r="G7" i="5"/>
  <c r="G10" i="5" s="1"/>
  <c r="G34" i="5" s="1"/>
  <c r="F7" i="5"/>
  <c r="E7" i="5"/>
  <c r="E10" i="5" s="1"/>
  <c r="E34" i="5" s="1"/>
  <c r="E62" i="5" s="1"/>
  <c r="E64" i="5" s="1"/>
  <c r="D7" i="5"/>
  <c r="C7" i="5"/>
  <c r="C10" i="5" s="1"/>
  <c r="B7" i="5"/>
  <c r="C103" i="4"/>
  <c r="D68" i="4" s="1"/>
  <c r="J92" i="4"/>
  <c r="E71" i="4" s="1"/>
  <c r="J86" i="4"/>
  <c r="D85" i="4"/>
  <c r="E81" i="4"/>
  <c r="D71" i="4"/>
  <c r="E69" i="4"/>
  <c r="D69" i="4"/>
  <c r="C69" i="4"/>
  <c r="E68" i="4"/>
  <c r="A66" i="4"/>
  <c r="K62" i="4"/>
  <c r="K64" i="4" s="1"/>
  <c r="M56" i="4"/>
  <c r="B56" i="4" s="1"/>
  <c r="B45" i="4"/>
  <c r="L44" i="4"/>
  <c r="K44" i="4"/>
  <c r="J44" i="4"/>
  <c r="I44" i="4"/>
  <c r="H44" i="4"/>
  <c r="G44" i="4"/>
  <c r="F44" i="4"/>
  <c r="E44" i="4"/>
  <c r="M44" i="4" s="1"/>
  <c r="B44" i="4" s="1"/>
  <c r="D44" i="4"/>
  <c r="C44" i="4"/>
  <c r="B43" i="4"/>
  <c r="B42" i="4"/>
  <c r="B41" i="4"/>
  <c r="B40" i="4"/>
  <c r="B39" i="4"/>
  <c r="F36" i="4"/>
  <c r="L35" i="4"/>
  <c r="K35" i="4"/>
  <c r="J35" i="4"/>
  <c r="J36" i="4" s="1"/>
  <c r="I35" i="4"/>
  <c r="F35" i="4"/>
  <c r="E35" i="4"/>
  <c r="D35" i="4"/>
  <c r="C35" i="4"/>
  <c r="J34" i="4"/>
  <c r="J62" i="4" s="1"/>
  <c r="J64" i="4" s="1"/>
  <c r="D34" i="4"/>
  <c r="D62" i="4" s="1"/>
  <c r="D64" i="4" s="1"/>
  <c r="B33" i="4"/>
  <c r="B32" i="4"/>
  <c r="B31" i="4"/>
  <c r="B30" i="4"/>
  <c r="N29" i="4"/>
  <c r="M29" i="4"/>
  <c r="L29" i="4"/>
  <c r="K29" i="4"/>
  <c r="J29" i="4"/>
  <c r="I29" i="4"/>
  <c r="H29" i="4"/>
  <c r="G29" i="4"/>
  <c r="F29" i="4"/>
  <c r="E29" i="4"/>
  <c r="D29" i="4"/>
  <c r="C29" i="4"/>
  <c r="B23" i="4"/>
  <c r="B22" i="4"/>
  <c r="B21" i="4"/>
  <c r="N20" i="4"/>
  <c r="M20" i="4"/>
  <c r="L20" i="4"/>
  <c r="K20" i="4"/>
  <c r="J20" i="4"/>
  <c r="I20" i="4"/>
  <c r="H20" i="4"/>
  <c r="G20" i="4"/>
  <c r="F20" i="4"/>
  <c r="E20" i="4"/>
  <c r="D20" i="4"/>
  <c r="C20" i="4"/>
  <c r="N10" i="4"/>
  <c r="N34" i="4" s="1"/>
  <c r="H10" i="4"/>
  <c r="H34" i="4" s="1"/>
  <c r="D10" i="4"/>
  <c r="N7" i="4"/>
  <c r="M7" i="4"/>
  <c r="M10" i="4" s="1"/>
  <c r="L7" i="4"/>
  <c r="L10" i="4" s="1"/>
  <c r="L34" i="4" s="1"/>
  <c r="L62" i="4" s="1"/>
  <c r="L64" i="4" s="1"/>
  <c r="K7" i="4"/>
  <c r="K10" i="4" s="1"/>
  <c r="K34" i="4" s="1"/>
  <c r="J7" i="4"/>
  <c r="J10" i="4" s="1"/>
  <c r="I7" i="4"/>
  <c r="I10" i="4" s="1"/>
  <c r="I34" i="4" s="1"/>
  <c r="I62" i="4" s="1"/>
  <c r="I64" i="4" s="1"/>
  <c r="H7" i="4"/>
  <c r="G7" i="4"/>
  <c r="G10" i="4" s="1"/>
  <c r="G34" i="4" s="1"/>
  <c r="F7" i="4"/>
  <c r="F10" i="4" s="1"/>
  <c r="F34" i="4" s="1"/>
  <c r="F62" i="4" s="1"/>
  <c r="F64" i="4" s="1"/>
  <c r="E7" i="4"/>
  <c r="E10" i="4" s="1"/>
  <c r="E34" i="4" s="1"/>
  <c r="E62" i="4" s="1"/>
  <c r="E64" i="4" s="1"/>
  <c r="D7" i="4"/>
  <c r="C7" i="4"/>
  <c r="C10" i="4" s="1"/>
  <c r="C34" i="4" s="1"/>
  <c r="B7" i="4"/>
  <c r="C103" i="3"/>
  <c r="D68" i="3" s="1"/>
  <c r="J92" i="3"/>
  <c r="J86" i="3"/>
  <c r="D85" i="3"/>
  <c r="E81" i="3"/>
  <c r="E69" i="3" s="1"/>
  <c r="E71" i="3"/>
  <c r="D71" i="3"/>
  <c r="D69" i="3"/>
  <c r="C69" i="3"/>
  <c r="E68" i="3"/>
  <c r="A66" i="3"/>
  <c r="M56" i="3"/>
  <c r="B56" i="3"/>
  <c r="M54" i="3"/>
  <c r="B45" i="3"/>
  <c r="L44" i="3"/>
  <c r="K44" i="3"/>
  <c r="J44" i="3"/>
  <c r="I44" i="3"/>
  <c r="H44" i="3"/>
  <c r="G44" i="3"/>
  <c r="F44" i="3"/>
  <c r="E44" i="3"/>
  <c r="D44" i="3"/>
  <c r="C44" i="3"/>
  <c r="M44" i="3" s="1"/>
  <c r="B44" i="3" s="1"/>
  <c r="B43" i="3"/>
  <c r="B42" i="3"/>
  <c r="B41" i="3"/>
  <c r="B40" i="3"/>
  <c r="B39" i="3"/>
  <c r="L36" i="3"/>
  <c r="E36" i="3"/>
  <c r="L35" i="3"/>
  <c r="K35" i="3"/>
  <c r="K36" i="3" s="1"/>
  <c r="J35" i="3"/>
  <c r="I35" i="3"/>
  <c r="F35" i="3"/>
  <c r="E35" i="3"/>
  <c r="D35" i="3"/>
  <c r="C35" i="3"/>
  <c r="J34" i="3"/>
  <c r="J62" i="3" s="1"/>
  <c r="J64" i="3" s="1"/>
  <c r="B33" i="3"/>
  <c r="B32" i="3"/>
  <c r="B31" i="3"/>
  <c r="B30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 s="1"/>
  <c r="B23" i="3"/>
  <c r="B22" i="3"/>
  <c r="B21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 s="1"/>
  <c r="M10" i="3"/>
  <c r="H10" i="3"/>
  <c r="H34" i="3" s="1"/>
  <c r="G10" i="3"/>
  <c r="N7" i="3"/>
  <c r="N10" i="3" s="1"/>
  <c r="M7" i="3"/>
  <c r="B38" i="3" s="1"/>
  <c r="B57" i="3" s="1"/>
  <c r="L7" i="3"/>
  <c r="L10" i="3" s="1"/>
  <c r="L34" i="3" s="1"/>
  <c r="L62" i="3" s="1"/>
  <c r="L64" i="3" s="1"/>
  <c r="K7" i="3"/>
  <c r="K10" i="3" s="1"/>
  <c r="K34" i="3" s="1"/>
  <c r="K62" i="3" s="1"/>
  <c r="K64" i="3" s="1"/>
  <c r="J7" i="3"/>
  <c r="J10" i="3" s="1"/>
  <c r="I7" i="3"/>
  <c r="I10" i="3" s="1"/>
  <c r="I34" i="3" s="1"/>
  <c r="I62" i="3" s="1"/>
  <c r="I64" i="3" s="1"/>
  <c r="H7" i="3"/>
  <c r="G7" i="3"/>
  <c r="F7" i="3"/>
  <c r="F10" i="3" s="1"/>
  <c r="F34" i="3" s="1"/>
  <c r="F62" i="3" s="1"/>
  <c r="F64" i="3" s="1"/>
  <c r="E7" i="3"/>
  <c r="E10" i="3" s="1"/>
  <c r="E34" i="3" s="1"/>
  <c r="E62" i="3" s="1"/>
  <c r="E64" i="3" s="1"/>
  <c r="D7" i="3"/>
  <c r="D10" i="3" s="1"/>
  <c r="D34" i="3" s="1"/>
  <c r="D62" i="3" s="1"/>
  <c r="D64" i="3" s="1"/>
  <c r="C7" i="3"/>
  <c r="C10" i="3" s="1"/>
  <c r="C34" i="3" s="1"/>
  <c r="B7" i="3"/>
  <c r="C103" i="2"/>
  <c r="J92" i="2"/>
  <c r="E71" i="2" s="1"/>
  <c r="J86" i="2"/>
  <c r="D85" i="2"/>
  <c r="E81" i="2"/>
  <c r="E69" i="2" s="1"/>
  <c r="D71" i="2"/>
  <c r="D69" i="2"/>
  <c r="C69" i="2"/>
  <c r="I68" i="2"/>
  <c r="E68" i="2"/>
  <c r="D68" i="2"/>
  <c r="F68" i="2" s="1"/>
  <c r="A66" i="2"/>
  <c r="M56" i="2"/>
  <c r="B56" i="2" s="1"/>
  <c r="M54" i="2"/>
  <c r="M53" i="2"/>
  <c r="M49" i="2"/>
  <c r="B45" i="2"/>
  <c r="L44" i="2"/>
  <c r="K44" i="2"/>
  <c r="J44" i="2"/>
  <c r="I44" i="2"/>
  <c r="H44" i="2"/>
  <c r="G44" i="2"/>
  <c r="M44" i="2" s="1"/>
  <c r="B44" i="2" s="1"/>
  <c r="F44" i="2"/>
  <c r="E44" i="2"/>
  <c r="D44" i="2"/>
  <c r="C44" i="2"/>
  <c r="B43" i="2"/>
  <c r="B42" i="2"/>
  <c r="B41" i="2"/>
  <c r="B40" i="2"/>
  <c r="B39" i="2"/>
  <c r="L35" i="2"/>
  <c r="K35" i="2"/>
  <c r="I35" i="2"/>
  <c r="F35" i="2"/>
  <c r="E35" i="2"/>
  <c r="D35" i="2"/>
  <c r="C35" i="2"/>
  <c r="B35" i="2" s="1"/>
  <c r="K34" i="2"/>
  <c r="K62" i="2" s="1"/>
  <c r="K64" i="2" s="1"/>
  <c r="J34" i="2"/>
  <c r="J36" i="2" s="1"/>
  <c r="B33" i="2"/>
  <c r="B32" i="2"/>
  <c r="B31" i="2"/>
  <c r="B30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B23" i="2"/>
  <c r="B22" i="2"/>
  <c r="B21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 s="1"/>
  <c r="N10" i="2"/>
  <c r="N34" i="2" s="1"/>
  <c r="M10" i="2"/>
  <c r="D10" i="2"/>
  <c r="D34" i="2" s="1"/>
  <c r="D62" i="2" s="1"/>
  <c r="D64" i="2" s="1"/>
  <c r="N7" i="2"/>
  <c r="M7" i="2"/>
  <c r="B38" i="2" s="1"/>
  <c r="L7" i="2"/>
  <c r="L10" i="2" s="1"/>
  <c r="L34" i="2" s="1"/>
  <c r="L62" i="2" s="1"/>
  <c r="L64" i="2" s="1"/>
  <c r="K7" i="2"/>
  <c r="K10" i="2" s="1"/>
  <c r="J7" i="2"/>
  <c r="J10" i="2" s="1"/>
  <c r="I7" i="2"/>
  <c r="I10" i="2" s="1"/>
  <c r="I34" i="2" s="1"/>
  <c r="H7" i="2"/>
  <c r="H10" i="2" s="1"/>
  <c r="H34" i="2" s="1"/>
  <c r="G7" i="2"/>
  <c r="G10" i="2" s="1"/>
  <c r="G34" i="2" s="1"/>
  <c r="F7" i="2"/>
  <c r="F10" i="2" s="1"/>
  <c r="F34" i="2" s="1"/>
  <c r="E7" i="2"/>
  <c r="E10" i="2" s="1"/>
  <c r="E34" i="2" s="1"/>
  <c r="D7" i="2"/>
  <c r="C7" i="2"/>
  <c r="C10" i="2" s="1"/>
  <c r="B7" i="2"/>
  <c r="C105" i="1"/>
  <c r="D70" i="1" s="1"/>
  <c r="J94" i="1"/>
  <c r="E73" i="1" s="1"/>
  <c r="J88" i="1"/>
  <c r="D87" i="1"/>
  <c r="E83" i="1"/>
  <c r="E71" i="1" s="1"/>
  <c r="D73" i="1"/>
  <c r="D71" i="1"/>
  <c r="C71" i="1"/>
  <c r="I71" i="1" s="1"/>
  <c r="E70" i="1"/>
  <c r="A68" i="1"/>
  <c r="C64" i="1"/>
  <c r="C66" i="1" s="1"/>
  <c r="M56" i="1"/>
  <c r="M54" i="1"/>
  <c r="M52" i="1"/>
  <c r="M51" i="1"/>
  <c r="M58" i="1" s="1"/>
  <c r="B58" i="1" s="1"/>
  <c r="M49" i="1"/>
  <c r="B47" i="1"/>
  <c r="L46" i="1"/>
  <c r="K46" i="1"/>
  <c r="J46" i="1"/>
  <c r="I46" i="1"/>
  <c r="H46" i="1"/>
  <c r="G46" i="1"/>
  <c r="F46" i="1"/>
  <c r="E46" i="1"/>
  <c r="D46" i="1"/>
  <c r="C46" i="1"/>
  <c r="M46" i="1" s="1"/>
  <c r="B46" i="1" s="1"/>
  <c r="B45" i="1"/>
  <c r="B44" i="1"/>
  <c r="B43" i="1"/>
  <c r="B42" i="1"/>
  <c r="B41" i="1"/>
  <c r="I37" i="1"/>
  <c r="B37" i="1"/>
  <c r="B71" i="1" s="1"/>
  <c r="L36" i="1"/>
  <c r="L64" i="1" s="1"/>
  <c r="L66" i="1" s="1"/>
  <c r="C36" i="1"/>
  <c r="C38" i="1" s="1"/>
  <c r="B35" i="1"/>
  <c r="B34" i="1"/>
  <c r="B33" i="1"/>
  <c r="B32" i="1"/>
  <c r="N31" i="1"/>
  <c r="M31" i="1"/>
  <c r="L31" i="1"/>
  <c r="K31" i="1"/>
  <c r="J31" i="1"/>
  <c r="I31" i="1"/>
  <c r="H31" i="1"/>
  <c r="G31" i="1"/>
  <c r="F31" i="1"/>
  <c r="E31" i="1"/>
  <c r="B31" i="1" s="1"/>
  <c r="D31" i="1"/>
  <c r="C31" i="1"/>
  <c r="B25" i="1"/>
  <c r="B24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 s="1"/>
  <c r="L12" i="1"/>
  <c r="J12" i="1"/>
  <c r="J36" i="1" s="1"/>
  <c r="G12" i="1"/>
  <c r="G36" i="1" s="1"/>
  <c r="D12" i="1"/>
  <c r="D36" i="1" s="1"/>
  <c r="C12" i="1"/>
  <c r="N9" i="1"/>
  <c r="N12" i="1" s="1"/>
  <c r="N36" i="1" s="1"/>
  <c r="M9" i="1"/>
  <c r="M12" i="1" s="1"/>
  <c r="L9" i="1"/>
  <c r="K9" i="1"/>
  <c r="K12" i="1" s="1"/>
  <c r="K36" i="1" s="1"/>
  <c r="J9" i="1"/>
  <c r="I9" i="1"/>
  <c r="I12" i="1" s="1"/>
  <c r="I36" i="1" s="1"/>
  <c r="H9" i="1"/>
  <c r="H12" i="1" s="1"/>
  <c r="H36" i="1" s="1"/>
  <c r="G9" i="1"/>
  <c r="F9" i="1"/>
  <c r="F12" i="1" s="1"/>
  <c r="F36" i="1" s="1"/>
  <c r="E9" i="1"/>
  <c r="E12" i="1" s="1"/>
  <c r="E36" i="1" s="1"/>
  <c r="D9" i="1"/>
  <c r="C9" i="1"/>
  <c r="B7" i="1"/>
  <c r="B6" i="1"/>
  <c r="B5" i="1"/>
  <c r="B9" i="1" s="1"/>
  <c r="B4" i="1"/>
  <c r="E32" i="10" l="1"/>
  <c r="E60" i="10" s="1"/>
  <c r="E62" i="10" s="1"/>
  <c r="B18" i="10"/>
  <c r="B36" i="10"/>
  <c r="L32" i="10"/>
  <c r="L34" i="10" s="1"/>
  <c r="B27" i="10"/>
  <c r="D32" i="10"/>
  <c r="D34" i="10" s="1"/>
  <c r="F7" i="14" s="1"/>
  <c r="G8" i="14" s="1"/>
  <c r="E34" i="10"/>
  <c r="H7" i="14" s="1"/>
  <c r="I8" i="14" s="1"/>
  <c r="F32" i="10"/>
  <c r="F34" i="10" s="1"/>
  <c r="J7" i="14" s="1"/>
  <c r="N60" i="10"/>
  <c r="N62" i="10" s="1"/>
  <c r="N34" i="10"/>
  <c r="G60" i="10"/>
  <c r="G62" i="10" s="1"/>
  <c r="G34" i="10"/>
  <c r="L7" i="14" s="1"/>
  <c r="M8" i="14" s="1"/>
  <c r="I34" i="10"/>
  <c r="P7" i="14" s="1"/>
  <c r="Q8" i="14" s="1"/>
  <c r="H34" i="10"/>
  <c r="N7" i="14" s="1"/>
  <c r="O7" i="14" s="1"/>
  <c r="H60" i="10"/>
  <c r="H62" i="10" s="1"/>
  <c r="B10" i="10"/>
  <c r="C32" i="10"/>
  <c r="C34" i="10" s="1"/>
  <c r="D7" i="14" s="1"/>
  <c r="J34" i="10"/>
  <c r="J60" i="10"/>
  <c r="J62" i="10" s="1"/>
  <c r="K34" i="10"/>
  <c r="L60" i="10"/>
  <c r="L62" i="10" s="1"/>
  <c r="I66" i="10"/>
  <c r="I68" i="10" s="1"/>
  <c r="F66" i="10"/>
  <c r="B33" i="10"/>
  <c r="C42" i="10"/>
  <c r="M42" i="10" s="1"/>
  <c r="B42" i="10" s="1"/>
  <c r="B55" i="10" s="1"/>
  <c r="O8" i="14"/>
  <c r="F70" i="1"/>
  <c r="I70" i="1"/>
  <c r="I72" i="1" s="1"/>
  <c r="D3" i="14"/>
  <c r="C60" i="6"/>
  <c r="N64" i="1"/>
  <c r="N66" i="1" s="1"/>
  <c r="N38" i="1"/>
  <c r="B69" i="2"/>
  <c r="J38" i="1"/>
  <c r="J64" i="1"/>
  <c r="J66" i="1" s="1"/>
  <c r="E36" i="2"/>
  <c r="E62" i="2"/>
  <c r="E64" i="2" s="1"/>
  <c r="N36" i="2"/>
  <c r="N62" i="2"/>
  <c r="N64" i="2" s="1"/>
  <c r="F62" i="2"/>
  <c r="F64" i="2" s="1"/>
  <c r="F36" i="2"/>
  <c r="B12" i="1"/>
  <c r="D64" i="1"/>
  <c r="D66" i="1" s="1"/>
  <c r="D38" i="1"/>
  <c r="E38" i="1"/>
  <c r="E64" i="1"/>
  <c r="E66" i="1" s="1"/>
  <c r="G62" i="2"/>
  <c r="G64" i="2" s="1"/>
  <c r="G36" i="2"/>
  <c r="K34" i="9"/>
  <c r="K60" i="9"/>
  <c r="K62" i="9" s="1"/>
  <c r="H38" i="1"/>
  <c r="H64" i="1"/>
  <c r="H66" i="1" s="1"/>
  <c r="H36" i="2"/>
  <c r="H62" i="2"/>
  <c r="H64" i="2" s="1"/>
  <c r="C62" i="3"/>
  <c r="H62" i="5"/>
  <c r="H64" i="5" s="1"/>
  <c r="H36" i="5"/>
  <c r="F38" i="1"/>
  <c r="F64" i="1"/>
  <c r="F66" i="1" s="1"/>
  <c r="F71" i="1"/>
  <c r="P3" i="14"/>
  <c r="I60" i="6"/>
  <c r="I62" i="6" s="1"/>
  <c r="C34" i="2"/>
  <c r="B10" i="2"/>
  <c r="G38" i="1"/>
  <c r="G64" i="1"/>
  <c r="G66" i="1" s="1"/>
  <c r="I38" i="1"/>
  <c r="I64" i="1"/>
  <c r="I66" i="1" s="1"/>
  <c r="I36" i="2"/>
  <c r="I62" i="2"/>
  <c r="I64" i="2" s="1"/>
  <c r="K64" i="1"/>
  <c r="K66" i="1" s="1"/>
  <c r="K38" i="1"/>
  <c r="L36" i="2"/>
  <c r="C36" i="3"/>
  <c r="B18" i="7"/>
  <c r="H60" i="8"/>
  <c r="H62" i="8" s="1"/>
  <c r="H34" i="8"/>
  <c r="N5" i="14" s="1"/>
  <c r="O5" i="14" s="1"/>
  <c r="D34" i="8"/>
  <c r="F5" i="14" s="1"/>
  <c r="G5" i="14" s="1"/>
  <c r="F34" i="9"/>
  <c r="J6" i="14" s="1"/>
  <c r="F60" i="9"/>
  <c r="F62" i="9" s="1"/>
  <c r="C38" i="12"/>
  <c r="C78" i="12"/>
  <c r="H38" i="12"/>
  <c r="H78" i="12"/>
  <c r="H82" i="12" s="1"/>
  <c r="L38" i="1"/>
  <c r="D36" i="3"/>
  <c r="E36" i="5"/>
  <c r="F34" i="6"/>
  <c r="I34" i="7"/>
  <c r="I69" i="3"/>
  <c r="B35" i="4"/>
  <c r="C36" i="4"/>
  <c r="I69" i="4"/>
  <c r="G62" i="5"/>
  <c r="G64" i="5" s="1"/>
  <c r="G36" i="5"/>
  <c r="I34" i="6"/>
  <c r="J34" i="7"/>
  <c r="J60" i="8"/>
  <c r="J62" i="8" s="1"/>
  <c r="J34" i="8"/>
  <c r="F34" i="8"/>
  <c r="J5" i="14" s="1"/>
  <c r="K5" i="14" s="1"/>
  <c r="M42" i="8"/>
  <c r="B42" i="8" s="1"/>
  <c r="N34" i="9"/>
  <c r="N60" i="9"/>
  <c r="N62" i="9" s="1"/>
  <c r="G34" i="9"/>
  <c r="L6" i="14" s="1"/>
  <c r="M6" i="14" s="1"/>
  <c r="H86" i="12"/>
  <c r="H88" i="12" s="1"/>
  <c r="F86" i="12"/>
  <c r="B10" i="4"/>
  <c r="F36" i="3"/>
  <c r="H62" i="4"/>
  <c r="H64" i="4" s="1"/>
  <c r="H36" i="4"/>
  <c r="D36" i="4"/>
  <c r="I36" i="5"/>
  <c r="K34" i="7"/>
  <c r="H60" i="9"/>
  <c r="H62" i="9" s="1"/>
  <c r="H34" i="9"/>
  <c r="N6" i="14" s="1"/>
  <c r="B18" i="9"/>
  <c r="E78" i="12"/>
  <c r="E82" i="12" s="1"/>
  <c r="E38" i="12"/>
  <c r="O4" i="14"/>
  <c r="C11" i="14"/>
  <c r="B40" i="1"/>
  <c r="B59" i="1" s="1"/>
  <c r="C36" i="2"/>
  <c r="J62" i="2"/>
  <c r="J64" i="2" s="1"/>
  <c r="I36" i="3"/>
  <c r="N62" i="4"/>
  <c r="N64" i="4" s="1"/>
  <c r="N36" i="4"/>
  <c r="E36" i="4"/>
  <c r="I34" i="5"/>
  <c r="I62" i="5" s="1"/>
  <c r="I64" i="5" s="1"/>
  <c r="L60" i="6"/>
  <c r="L62" i="6" s="1"/>
  <c r="L34" i="6"/>
  <c r="F38" i="12"/>
  <c r="F78" i="12"/>
  <c r="F82" i="12" s="1"/>
  <c r="C62" i="4"/>
  <c r="D36" i="2"/>
  <c r="K36" i="2"/>
  <c r="J36" i="3"/>
  <c r="G62" i="4"/>
  <c r="G64" i="4" s="1"/>
  <c r="G36" i="4"/>
  <c r="B20" i="4"/>
  <c r="I68" i="5"/>
  <c r="F68" i="5"/>
  <c r="I66" i="6"/>
  <c r="I68" i="6" s="1"/>
  <c r="F66" i="6"/>
  <c r="B55" i="7"/>
  <c r="F34" i="7"/>
  <c r="K34" i="8"/>
  <c r="J32" i="9"/>
  <c r="I66" i="9"/>
  <c r="I68" i="9" s="1"/>
  <c r="F66" i="9"/>
  <c r="I36" i="4"/>
  <c r="K62" i="5"/>
  <c r="K64" i="5" s="1"/>
  <c r="K36" i="5"/>
  <c r="L36" i="5"/>
  <c r="L34" i="7"/>
  <c r="I66" i="7"/>
  <c r="I68" i="7" s="1"/>
  <c r="F66" i="7"/>
  <c r="B33" i="9"/>
  <c r="L32" i="9"/>
  <c r="L60" i="9" s="1"/>
  <c r="L62" i="9" s="1"/>
  <c r="D34" i="9"/>
  <c r="F6" i="14" s="1"/>
  <c r="I70" i="2"/>
  <c r="B71" i="3"/>
  <c r="F71" i="3" s="1"/>
  <c r="M61" i="3"/>
  <c r="M34" i="3"/>
  <c r="M36" i="3" s="1"/>
  <c r="D36" i="5"/>
  <c r="B10" i="6"/>
  <c r="C60" i="7"/>
  <c r="B10" i="7"/>
  <c r="B10" i="8"/>
  <c r="C32" i="8"/>
  <c r="B57" i="2"/>
  <c r="N34" i="3"/>
  <c r="B29" i="4"/>
  <c r="K36" i="4"/>
  <c r="I68" i="4"/>
  <c r="I70" i="4" s="1"/>
  <c r="F68" i="4"/>
  <c r="B57" i="5"/>
  <c r="J36" i="5"/>
  <c r="D60" i="6"/>
  <c r="D62" i="6" s="1"/>
  <c r="F3" i="14"/>
  <c r="G3" i="14" s="1"/>
  <c r="D32" i="8"/>
  <c r="D60" i="8" s="1"/>
  <c r="D62" i="8" s="1"/>
  <c r="I68" i="8"/>
  <c r="E34" i="9"/>
  <c r="H6" i="14" s="1"/>
  <c r="I6" i="14" s="1"/>
  <c r="M42" i="9"/>
  <c r="B42" i="9" s="1"/>
  <c r="B55" i="9" s="1"/>
  <c r="H62" i="3"/>
  <c r="H64" i="3" s="1"/>
  <c r="H36" i="3"/>
  <c r="F69" i="2"/>
  <c r="F70" i="2" s="1"/>
  <c r="B10" i="3"/>
  <c r="G34" i="3"/>
  <c r="B34" i="3" s="1"/>
  <c r="I69" i="5"/>
  <c r="E60" i="6"/>
  <c r="E62" i="6" s="1"/>
  <c r="H3" i="14"/>
  <c r="I3" i="14" s="1"/>
  <c r="H60" i="6"/>
  <c r="H62" i="6" s="1"/>
  <c r="H34" i="6"/>
  <c r="N3" i="14"/>
  <c r="O3" i="14" s="1"/>
  <c r="B33" i="6"/>
  <c r="I67" i="6"/>
  <c r="H60" i="7"/>
  <c r="H62" i="7" s="1"/>
  <c r="H34" i="7"/>
  <c r="B33" i="7"/>
  <c r="C34" i="7"/>
  <c r="I60" i="8"/>
  <c r="I62" i="8" s="1"/>
  <c r="I34" i="8"/>
  <c r="P5" i="14" s="1"/>
  <c r="Q5" i="14" s="1"/>
  <c r="B27" i="9"/>
  <c r="C12" i="14"/>
  <c r="N62" i="5"/>
  <c r="N64" i="5" s="1"/>
  <c r="N36" i="5"/>
  <c r="J3" i="14"/>
  <c r="K3" i="14" s="1"/>
  <c r="F60" i="6"/>
  <c r="F62" i="6" s="1"/>
  <c r="N60" i="6"/>
  <c r="N62" i="6" s="1"/>
  <c r="N34" i="6"/>
  <c r="C34" i="6"/>
  <c r="C32" i="9"/>
  <c r="B10" i="9"/>
  <c r="Q7" i="14"/>
  <c r="I69" i="2"/>
  <c r="B35" i="3"/>
  <c r="I68" i="3"/>
  <c r="I70" i="3" s="1"/>
  <c r="F68" i="3"/>
  <c r="L36" i="4"/>
  <c r="F34" i="5"/>
  <c r="B35" i="5"/>
  <c r="G32" i="6"/>
  <c r="B18" i="6"/>
  <c r="D34" i="6"/>
  <c r="G32" i="7"/>
  <c r="N60" i="7"/>
  <c r="N62" i="7" s="1"/>
  <c r="N34" i="7"/>
  <c r="E34" i="7"/>
  <c r="N32" i="8"/>
  <c r="B33" i="8"/>
  <c r="G4" i="14"/>
  <c r="C29" i="5"/>
  <c r="B29" i="5" s="1"/>
  <c r="C34" i="8"/>
  <c r="D5" i="14" s="1"/>
  <c r="B36" i="8"/>
  <c r="M10" i="9"/>
  <c r="B38" i="9"/>
  <c r="G11" i="14"/>
  <c r="G14" i="14"/>
  <c r="B38" i="4"/>
  <c r="B57" i="4" s="1"/>
  <c r="M10" i="5"/>
  <c r="B10" i="5" s="1"/>
  <c r="I78" i="12"/>
  <c r="I82" i="12" s="1"/>
  <c r="B36" i="6"/>
  <c r="B55" i="6" s="1"/>
  <c r="C79" i="12"/>
  <c r="B79" i="12" s="1"/>
  <c r="C46" i="12"/>
  <c r="G46" i="12" s="1"/>
  <c r="B46" i="12" s="1"/>
  <c r="B59" i="12" s="1"/>
  <c r="B8" i="14"/>
  <c r="D78" i="12"/>
  <c r="D82" i="12" s="1"/>
  <c r="D60" i="10" l="1"/>
  <c r="D62" i="10" s="1"/>
  <c r="F60" i="10"/>
  <c r="F62" i="10" s="1"/>
  <c r="K8" i="14"/>
  <c r="K7" i="14"/>
  <c r="B7" i="14"/>
  <c r="C8" i="14" s="1"/>
  <c r="M59" i="10"/>
  <c r="M32" i="10"/>
  <c r="M34" i="10" s="1"/>
  <c r="B69" i="10"/>
  <c r="F69" i="10" s="1"/>
  <c r="E8" i="14"/>
  <c r="C60" i="10"/>
  <c r="B67" i="10"/>
  <c r="F67" i="10" s="1"/>
  <c r="F68" i="10" s="1"/>
  <c r="M32" i="9"/>
  <c r="M34" i="9" s="1"/>
  <c r="B69" i="9"/>
  <c r="F69" i="9" s="1"/>
  <c r="M59" i="9"/>
  <c r="F70" i="4"/>
  <c r="B67" i="8"/>
  <c r="F67" i="8" s="1"/>
  <c r="F68" i="8" s="1"/>
  <c r="C64" i="4"/>
  <c r="B62" i="4"/>
  <c r="B73" i="1"/>
  <c r="F73" i="1" s="1"/>
  <c r="M36" i="1"/>
  <c r="M63" i="1"/>
  <c r="B69" i="4"/>
  <c r="F69" i="4" s="1"/>
  <c r="C82" i="12"/>
  <c r="B78" i="12"/>
  <c r="N60" i="8"/>
  <c r="N62" i="8" s="1"/>
  <c r="N34" i="8"/>
  <c r="F68" i="7"/>
  <c r="M59" i="7"/>
  <c r="M32" i="7"/>
  <c r="M34" i="7" s="1"/>
  <c r="B69" i="7"/>
  <c r="F69" i="7" s="1"/>
  <c r="B71" i="2"/>
  <c r="F71" i="2" s="1"/>
  <c r="M34" i="2"/>
  <c r="M36" i="2" s="1"/>
  <c r="M61" i="2"/>
  <c r="B34" i="2"/>
  <c r="B36" i="2" s="1"/>
  <c r="C62" i="2"/>
  <c r="M64" i="3"/>
  <c r="B61" i="3"/>
  <c r="I7" i="14"/>
  <c r="Q6" i="14"/>
  <c r="C60" i="8"/>
  <c r="I70" i="5"/>
  <c r="L34" i="9"/>
  <c r="F62" i="5"/>
  <c r="F64" i="5" s="1"/>
  <c r="F36" i="5"/>
  <c r="B69" i="6"/>
  <c r="F69" i="6" s="1"/>
  <c r="M59" i="6"/>
  <c r="M32" i="6"/>
  <c r="M34" i="6" s="1"/>
  <c r="G62" i="3"/>
  <c r="G64" i="3" s="1"/>
  <c r="G36" i="3"/>
  <c r="G60" i="7"/>
  <c r="G62" i="7" s="1"/>
  <c r="G34" i="7"/>
  <c r="F72" i="2"/>
  <c r="G6" i="14"/>
  <c r="Q4" i="14"/>
  <c r="Q3" i="14"/>
  <c r="B60" i="6"/>
  <c r="C62" i="6"/>
  <c r="N62" i="3"/>
  <c r="N64" i="3" s="1"/>
  <c r="N36" i="3"/>
  <c r="K6" i="14"/>
  <c r="E4" i="14"/>
  <c r="E3" i="14"/>
  <c r="B3" i="14"/>
  <c r="B32" i="7"/>
  <c r="B34" i="7" s="1"/>
  <c r="G7" i="14"/>
  <c r="O6" i="14"/>
  <c r="B69" i="3"/>
  <c r="F69" i="3" s="1"/>
  <c r="B36" i="3"/>
  <c r="B67" i="7"/>
  <c r="F67" i="7" s="1"/>
  <c r="C34" i="9"/>
  <c r="D6" i="14" s="1"/>
  <c r="C60" i="9"/>
  <c r="B67" i="6"/>
  <c r="F67" i="6" s="1"/>
  <c r="F68" i="6" s="1"/>
  <c r="F70" i="6" s="1"/>
  <c r="B55" i="8"/>
  <c r="L3" i="14"/>
  <c r="G60" i="6"/>
  <c r="G62" i="6" s="1"/>
  <c r="G34" i="6"/>
  <c r="C34" i="5"/>
  <c r="C62" i="7"/>
  <c r="I4" i="14"/>
  <c r="F70" i="3"/>
  <c r="F72" i="3" s="1"/>
  <c r="B62" i="3"/>
  <c r="C64" i="3"/>
  <c r="B64" i="3" s="1"/>
  <c r="B71" i="4"/>
  <c r="F71" i="4" s="1"/>
  <c r="M34" i="4"/>
  <c r="M61" i="4"/>
  <c r="B64" i="1"/>
  <c r="G77" i="12"/>
  <c r="B89" i="12"/>
  <c r="F89" i="12" s="1"/>
  <c r="G36" i="12"/>
  <c r="E5" i="14"/>
  <c r="B5" i="14"/>
  <c r="C5" i="14" s="1"/>
  <c r="B69" i="5"/>
  <c r="F69" i="5" s="1"/>
  <c r="F70" i="5" s="1"/>
  <c r="F72" i="5" s="1"/>
  <c r="M7" i="14"/>
  <c r="C9" i="14"/>
  <c r="B71" i="5"/>
  <c r="F71" i="5" s="1"/>
  <c r="M34" i="5"/>
  <c r="M36" i="5" s="1"/>
  <c r="M61" i="5"/>
  <c r="B67" i="9"/>
  <c r="F67" i="9" s="1"/>
  <c r="F68" i="9" s="1"/>
  <c r="F70" i="9" s="1"/>
  <c r="J34" i="9"/>
  <c r="J60" i="9"/>
  <c r="J62" i="9" s="1"/>
  <c r="K4" i="14"/>
  <c r="F72" i="1"/>
  <c r="B32" i="10" l="1"/>
  <c r="B34" i="10" s="1"/>
  <c r="B32" i="9"/>
  <c r="B34" i="9" s="1"/>
  <c r="F70" i="10"/>
  <c r="C62" i="10"/>
  <c r="B60" i="10"/>
  <c r="M62" i="10"/>
  <c r="B59" i="10"/>
  <c r="C3" i="14"/>
  <c r="C4" i="14"/>
  <c r="F74" i="1"/>
  <c r="B62" i="2"/>
  <c r="C64" i="2"/>
  <c r="B64" i="2" s="1"/>
  <c r="F72" i="4"/>
  <c r="C62" i="8"/>
  <c r="B60" i="8"/>
  <c r="F70" i="7"/>
  <c r="B60" i="7"/>
  <c r="B82" i="12"/>
  <c r="M62" i="9"/>
  <c r="B59" i="9"/>
  <c r="C62" i="9"/>
  <c r="B60" i="9"/>
  <c r="B77" i="12"/>
  <c r="G82" i="12"/>
  <c r="E7" i="14"/>
  <c r="E6" i="14"/>
  <c r="B6" i="14"/>
  <c r="B62" i="7"/>
  <c r="M64" i="5"/>
  <c r="B61" i="5"/>
  <c r="B61" i="2"/>
  <c r="M64" i="2"/>
  <c r="M62" i="7"/>
  <c r="B59" i="7"/>
  <c r="M62" i="6"/>
  <c r="B59" i="6"/>
  <c r="B62" i="6"/>
  <c r="M64" i="4"/>
  <c r="B64" i="4" s="1"/>
  <c r="B61" i="4"/>
  <c r="M36" i="4"/>
  <c r="B34" i="4"/>
  <c r="B36" i="4" s="1"/>
  <c r="M3" i="14"/>
  <c r="M4" i="14"/>
  <c r="B63" i="1"/>
  <c r="M66" i="1"/>
  <c r="B66" i="1" s="1"/>
  <c r="B32" i="6"/>
  <c r="B34" i="6" s="1"/>
  <c r="G38" i="12"/>
  <c r="B36" i="12"/>
  <c r="B34" i="5"/>
  <c r="B36" i="5" s="1"/>
  <c r="C62" i="5"/>
  <c r="C36" i="5"/>
  <c r="B69" i="8"/>
  <c r="F69" i="8" s="1"/>
  <c r="F70" i="8" s="1"/>
  <c r="M32" i="8"/>
  <c r="M59" i="8"/>
  <c r="M38" i="1"/>
  <c r="B36" i="1"/>
  <c r="B38" i="1" s="1"/>
  <c r="B62" i="10" l="1"/>
  <c r="B62" i="9"/>
  <c r="B62" i="5"/>
  <c r="C64" i="5"/>
  <c r="B64" i="5" s="1"/>
  <c r="C6" i="14"/>
  <c r="C7" i="14"/>
  <c r="B87" i="12"/>
  <c r="B38" i="12"/>
  <c r="M34" i="8"/>
  <c r="B32" i="8"/>
  <c r="B34" i="8" s="1"/>
  <c r="M62" i="8"/>
  <c r="B62" i="8" s="1"/>
  <c r="B59" i="8"/>
  <c r="B88" i="12" l="1"/>
  <c r="F87" i="12"/>
  <c r="F88" i="12" s="1"/>
  <c r="F90" i="12" s="1"/>
</calcChain>
</file>

<file path=xl/sharedStrings.xml><?xml version="1.0" encoding="utf-8"?>
<sst xmlns="http://schemas.openxmlformats.org/spreadsheetml/2006/main" count="1779" uniqueCount="178">
  <si>
    <t xml:space="preserve">Month: January 2025                                                                                                                                </t>
  </si>
  <si>
    <t>OPENING BAL</t>
  </si>
  <si>
    <t>FUND</t>
  </si>
  <si>
    <t>A</t>
  </si>
  <si>
    <t>B</t>
  </si>
  <si>
    <t>DA</t>
  </si>
  <si>
    <t>DB</t>
  </si>
  <si>
    <t>H</t>
  </si>
  <si>
    <t>SM</t>
  </si>
  <si>
    <t>SW</t>
  </si>
  <si>
    <t>SW003</t>
  </si>
  <si>
    <t>SW004</t>
  </si>
  <si>
    <t>TA</t>
  </si>
  <si>
    <t>V</t>
  </si>
  <si>
    <t>Cash Accts</t>
  </si>
  <si>
    <t>Fund Balance</t>
  </si>
  <si>
    <t>General Townwide</t>
  </si>
  <si>
    <t>General Outside Village</t>
  </si>
  <si>
    <t>Highway Townwide</t>
  </si>
  <si>
    <t>Highway Outside Village</t>
  </si>
  <si>
    <t>Water District #4</t>
  </si>
  <si>
    <t>WIBA #1</t>
  </si>
  <si>
    <t>Special District Fire</t>
  </si>
  <si>
    <t>Water District 4</t>
  </si>
  <si>
    <t>Peachey Road Water District</t>
  </si>
  <si>
    <t>WIBA #1 Water District</t>
  </si>
  <si>
    <t>Trust and Agency</t>
  </si>
  <si>
    <t>Peachey Water</t>
  </si>
  <si>
    <t>Payroll</t>
  </si>
  <si>
    <t>Savings</t>
  </si>
  <si>
    <t>Checking</t>
  </si>
  <si>
    <t>NYCLASS</t>
  </si>
  <si>
    <t>Total All</t>
  </si>
  <si>
    <t>SAVINGS</t>
  </si>
  <si>
    <t>H-4</t>
  </si>
  <si>
    <t>H-1</t>
  </si>
  <si>
    <t>SW-2</t>
  </si>
  <si>
    <t>SW-PR</t>
  </si>
  <si>
    <t>SW-1</t>
  </si>
  <si>
    <t>Deposits</t>
  </si>
  <si>
    <t>January Deposits</t>
  </si>
  <si>
    <t>Genesee Cty Sales Tax</t>
  </si>
  <si>
    <t>Relevied Taxes</t>
  </si>
  <si>
    <t>WQIP Grant</t>
  </si>
  <si>
    <t>NYS EFC</t>
  </si>
  <si>
    <t>Bond Issued</t>
  </si>
  <si>
    <t>Adjustments</t>
  </si>
  <si>
    <t>EOY Adjustments</t>
  </si>
  <si>
    <t>Total Deposits</t>
  </si>
  <si>
    <t>Interest</t>
  </si>
  <si>
    <t>Abstracts</t>
  </si>
  <si>
    <t>Merchant Fees</t>
  </si>
  <si>
    <t>Returned Checks</t>
  </si>
  <si>
    <t>Sales Tax</t>
  </si>
  <si>
    <t>Voided Checks</t>
  </si>
  <si>
    <t>Transfers OUT</t>
  </si>
  <si>
    <t>Payroll Trans OUT</t>
  </si>
  <si>
    <t>ACCT BAL</t>
  </si>
  <si>
    <t>Books @ 1/31/2025</t>
  </si>
  <si>
    <t>Diff</t>
  </si>
  <si>
    <t>T&amp;A</t>
  </si>
  <si>
    <t>PAYROLL</t>
  </si>
  <si>
    <t>DEP &amp; TRANSFERS</t>
  </si>
  <si>
    <t>Total Dep &amp; Trans</t>
  </si>
  <si>
    <t>DISBURSEMENTS</t>
  </si>
  <si>
    <t>Direct Deposit</t>
  </si>
  <si>
    <t>Pay checks</t>
  </si>
  <si>
    <t>EFTPS</t>
  </si>
  <si>
    <t>NYS Tax</t>
  </si>
  <si>
    <t>Union</t>
  </si>
  <si>
    <t>Def Comp</t>
  </si>
  <si>
    <t>NYS Retirement</t>
  </si>
  <si>
    <t>Medical</t>
  </si>
  <si>
    <t>Other</t>
  </si>
  <si>
    <t>Total Disb</t>
  </si>
  <si>
    <t>CLOSING BAL</t>
  </si>
  <si>
    <t>CASH Balance</t>
  </si>
  <si>
    <t>Water District 2</t>
  </si>
  <si>
    <t>Tompkins/NYCLASS</t>
  </si>
  <si>
    <t>Books</t>
  </si>
  <si>
    <t>Bank/NYCLASS</t>
  </si>
  <si>
    <t>OS</t>
  </si>
  <si>
    <t>DIT</t>
  </si>
  <si>
    <t>diff</t>
  </si>
  <si>
    <t>Operating</t>
  </si>
  <si>
    <t>Savings/NYCLASS</t>
  </si>
  <si>
    <t xml:space="preserve"> </t>
  </si>
  <si>
    <t>DIFF</t>
  </si>
  <si>
    <t>Operating OS</t>
  </si>
  <si>
    <t>SAVINGS DIT</t>
  </si>
  <si>
    <t>Savings Corrections</t>
  </si>
  <si>
    <t>Payroll OS</t>
  </si>
  <si>
    <t>Cash</t>
  </si>
  <si>
    <t>Checks</t>
  </si>
  <si>
    <t>Credit Cards</t>
  </si>
  <si>
    <t>FIS</t>
  </si>
  <si>
    <t>e-Payments</t>
  </si>
  <si>
    <t>EFT</t>
  </si>
  <si>
    <t>VOIDS</t>
  </si>
  <si>
    <t>SAVINGS OS</t>
  </si>
  <si>
    <t>Printing Error</t>
  </si>
  <si>
    <t>Duplicate Payment</t>
  </si>
  <si>
    <t>Incorrect Vendor</t>
  </si>
  <si>
    <t>Lost Check</t>
  </si>
  <si>
    <t>Returned</t>
  </si>
  <si>
    <t>Damaged</t>
  </si>
  <si>
    <t>Operating DIT</t>
  </si>
  <si>
    <t>Wrong Amount</t>
  </si>
  <si>
    <t>Payroll DIT</t>
  </si>
  <si>
    <t xml:space="preserve">Month: February 2025                                                                                                                                </t>
  </si>
  <si>
    <t>February Deposits</t>
  </si>
  <si>
    <t>Books @ 2/28/2025</t>
  </si>
  <si>
    <t xml:space="preserve">Month: March 2025                                                                                                                                </t>
  </si>
  <si>
    <t>March Deposits</t>
  </si>
  <si>
    <t>Timekeeping Fees</t>
  </si>
  <si>
    <t>Books @ 3/31/2025</t>
  </si>
  <si>
    <t xml:space="preserve">Month: April 2025                                                                                                                                </t>
  </si>
  <si>
    <t>Town Hall Capital Project</t>
  </si>
  <si>
    <t>H-6</t>
  </si>
  <si>
    <t>April Deposits</t>
  </si>
  <si>
    <t>Books @ 4/30/2025</t>
  </si>
  <si>
    <t xml:space="preserve">Month: May 2025                                                                                                                                </t>
  </si>
  <si>
    <t>May Deposits</t>
  </si>
  <si>
    <t>Books @ 5/31/2025</t>
  </si>
  <si>
    <t xml:space="preserve">Month: June 2025                                                                                                                                </t>
  </si>
  <si>
    <t>June Deposits</t>
  </si>
  <si>
    <t>Books @ 6/30/2025</t>
  </si>
  <si>
    <t xml:space="preserve">Month: July 2025                                                                                                                                </t>
  </si>
  <si>
    <t>July Deposits</t>
  </si>
  <si>
    <t>Books @ 7/31/2025</t>
  </si>
  <si>
    <t xml:space="preserve">Month: August 2025                                                                                                                                </t>
  </si>
  <si>
    <t>August Deposits</t>
  </si>
  <si>
    <t>Books @ 8/31/2025</t>
  </si>
  <si>
    <t xml:space="preserve">Month: September 2025                                                                                                                                </t>
  </si>
  <si>
    <t>September Deposits</t>
  </si>
  <si>
    <t>Books @ 9/30/2025</t>
  </si>
  <si>
    <t xml:space="preserve">Month: May 2024                                                                                                                                </t>
  </si>
  <si>
    <t>G</t>
  </si>
  <si>
    <t>E</t>
  </si>
  <si>
    <t>S</t>
  </si>
  <si>
    <t>H19</t>
  </si>
  <si>
    <t>H20</t>
  </si>
  <si>
    <t>H21</t>
  </si>
  <si>
    <t>General</t>
  </si>
  <si>
    <t>Electric</t>
  </si>
  <si>
    <t>Sewer</t>
  </si>
  <si>
    <t>Sewer Membranes and Plant Upgrades</t>
  </si>
  <si>
    <t>Sewer Infiltration Study</t>
  </si>
  <si>
    <t>Electric Substation</t>
  </si>
  <si>
    <t>Spec Reserve</t>
  </si>
  <si>
    <t>Elec Reserve</t>
  </si>
  <si>
    <t>Books @ 5/31/2024</t>
  </si>
  <si>
    <t>EOY Adjustment</t>
  </si>
  <si>
    <t>Unemployment</t>
  </si>
  <si>
    <t>Special Reserves</t>
  </si>
  <si>
    <t>TRANSFERS</t>
  </si>
  <si>
    <t>INTEREST</t>
  </si>
  <si>
    <t>DEPOSITS</t>
  </si>
  <si>
    <t>Electric Reserve</t>
  </si>
  <si>
    <t>Total</t>
  </si>
  <si>
    <t>H17</t>
  </si>
  <si>
    <t>H1</t>
  </si>
  <si>
    <t>H16</t>
  </si>
  <si>
    <t>May</t>
  </si>
  <si>
    <t xml:space="preserve">June </t>
  </si>
  <si>
    <t xml:space="preserve">July 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</si>
  <si>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</si>
  <si>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</si>
  <si>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</si>
  <si>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</si>
  <si>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</si>
  <si>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</si>
  <si>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</si>
  <si>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</si>
  <si>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</si>
  <si>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 xml:space="preserve">Month: October 2025                                                                                                                                </t>
  </si>
  <si>
    <t>October Deposits</t>
  </si>
  <si>
    <t>Books @ 10/31/2025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</si>
</sst>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-yy"/>
  </numFmts>
  <fonts count="11" x14ac:knownFonts="1">
    <font>
      <sz val="11"/>
      <color theme="1"/>
      <name val="Calibri"/>
      <scheme val="minor"/>
    </font>
    <font>
      <b/>
      <sz val="8"/>
      <color theme="1"/>
      <name val="Arial"/>
    </font>
    <font>
      <b/>
      <sz val="10"/>
      <color theme="1"/>
      <name val="Arial"/>
    </font>
    <font>
      <b/>
      <sz val="10"/>
      <color theme="1"/>
      <name val="Arial Narrow"/>
    </font>
    <font>
      <sz val="8"/>
      <color theme="1"/>
      <name val="Arial"/>
    </font>
    <font>
      <sz val="11"/>
      <color theme="1"/>
      <name val="Calibri"/>
    </font>
    <font>
      <sz val="11"/>
      <name val="Calibri"/>
    </font>
    <font>
      <sz val="12"/>
      <color theme="1"/>
      <name val="Calibri"/>
    </font>
    <font>
      <sz val="11"/>
      <color rgb="FFFF0000"/>
      <name val="Calibri"/>
    </font>
    <font>
      <sz val="10"/>
      <color theme="1"/>
      <name val="Arial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C99FF"/>
        <bgColor rgb="FFCC99FF"/>
      </patternFill>
    </fill>
    <fill>
      <patternFill patternType="solid">
        <fgColor rgb="FFB2A1C7"/>
        <bgColor rgb="FFB2A1C7"/>
      </patternFill>
    </fill>
    <fill>
      <patternFill patternType="solid">
        <fgColor rgb="FFC2D69B"/>
        <bgColor rgb="FFC2D69B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44" fontId="1" fillId="0" borderId="0" xfId="0" applyNumberFormat="1" applyFont="1"/>
    <xf numFmtId="44" fontId="4" fillId="0" borderId="0" xfId="0" applyNumberFormat="1" applyFont="1"/>
    <xf numFmtId="44" fontId="4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/>
    </xf>
    <xf numFmtId="44" fontId="2" fillId="0" borderId="0" xfId="0" applyNumberFormat="1" applyFont="1"/>
    <xf numFmtId="44" fontId="5" fillId="0" borderId="0" xfId="0" applyNumberFormat="1" applyFont="1"/>
    <xf numFmtId="44" fontId="1" fillId="0" borderId="3" xfId="0" applyNumberFormat="1" applyFont="1" applyBorder="1"/>
    <xf numFmtId="44" fontId="1" fillId="3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44" fontId="4" fillId="3" borderId="1" xfId="0" applyNumberFormat="1" applyFont="1" applyFill="1" applyBorder="1"/>
    <xf numFmtId="0" fontId="1" fillId="0" borderId="0" xfId="0" applyFont="1" applyAlignment="1">
      <alignment horizontal="left"/>
    </xf>
    <xf numFmtId="16" fontId="4" fillId="0" borderId="0" xfId="0" applyNumberFormat="1" applyFont="1"/>
    <xf numFmtId="0" fontId="4" fillId="0" borderId="0" xfId="0" applyFont="1"/>
    <xf numFmtId="43" fontId="5" fillId="0" borderId="0" xfId="0" applyNumberFormat="1" applyFont="1"/>
    <xf numFmtId="0" fontId="5" fillId="0" borderId="0" xfId="0" applyFont="1"/>
    <xf numFmtId="2" fontId="4" fillId="0" borderId="0" xfId="0" applyNumberFormat="1" applyFont="1"/>
    <xf numFmtId="0" fontId="1" fillId="0" borderId="0" xfId="0" applyFont="1" applyAlignment="1">
      <alignment horizontal="center"/>
    </xf>
    <xf numFmtId="44" fontId="1" fillId="0" borderId="6" xfId="0" applyNumberFormat="1" applyFont="1" applyBorder="1"/>
    <xf numFmtId="0" fontId="5" fillId="0" borderId="0" xfId="0" applyFont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44" fontId="4" fillId="0" borderId="3" xfId="0" applyNumberFormat="1" applyFont="1" applyBorder="1"/>
    <xf numFmtId="43" fontId="7" fillId="0" borderId="0" xfId="0" applyNumberFormat="1" applyFont="1"/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left"/>
    </xf>
    <xf numFmtId="14" fontId="5" fillId="0" borderId="0" xfId="0" applyNumberFormat="1" applyFont="1"/>
    <xf numFmtId="0" fontId="5" fillId="0" borderId="10" xfId="0" applyFont="1" applyBorder="1" applyAlignment="1">
      <alignment horizontal="right"/>
    </xf>
    <xf numFmtId="43" fontId="7" fillId="0" borderId="11" xfId="0" applyNumberFormat="1" applyFont="1" applyBorder="1"/>
    <xf numFmtId="0" fontId="5" fillId="0" borderId="12" xfId="0" applyFont="1" applyBorder="1" applyAlignment="1">
      <alignment horizontal="right"/>
    </xf>
    <xf numFmtId="43" fontId="7" fillId="0" borderId="13" xfId="0" applyNumberFormat="1" applyFont="1" applyBorder="1"/>
    <xf numFmtId="0" fontId="5" fillId="0" borderId="12" xfId="0" applyFont="1" applyBorder="1"/>
    <xf numFmtId="44" fontId="7" fillId="0" borderId="3" xfId="0" applyNumberFormat="1" applyFont="1" applyBorder="1"/>
    <xf numFmtId="49" fontId="5" fillId="0" borderId="0" xfId="0" applyNumberFormat="1" applyFont="1" applyAlignment="1">
      <alignment horizontal="right"/>
    </xf>
    <xf numFmtId="43" fontId="9" fillId="0" borderId="0" xfId="0" applyNumberFormat="1" applyFont="1"/>
    <xf numFmtId="0" fontId="5" fillId="0" borderId="7" xfId="0" applyFont="1" applyBorder="1"/>
    <xf numFmtId="44" fontId="5" fillId="0" borderId="14" xfId="0" applyNumberFormat="1" applyFont="1" applyBorder="1"/>
    <xf numFmtId="44" fontId="5" fillId="0" borderId="3" xfId="0" applyNumberFormat="1" applyFont="1" applyBorder="1"/>
    <xf numFmtId="44" fontId="4" fillId="0" borderId="6" xfId="0" applyNumberFormat="1" applyFont="1" applyBorder="1"/>
    <xf numFmtId="4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44" fontId="5" fillId="0" borderId="6" xfId="0" applyNumberFormat="1" applyFont="1" applyBorder="1" applyAlignment="1">
      <alignment horizontal="left"/>
    </xf>
    <xf numFmtId="49" fontId="5" fillId="0" borderId="0" xfId="0" applyNumberFormat="1" applyFont="1"/>
    <xf numFmtId="1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44" fontId="5" fillId="0" borderId="0" xfId="0" applyNumberFormat="1" applyFont="1" applyAlignment="1">
      <alignment horizontal="right"/>
    </xf>
    <xf numFmtId="4" fontId="5" fillId="0" borderId="0" xfId="0" applyNumberFormat="1" applyFont="1"/>
    <xf numFmtId="0" fontId="10" fillId="0" borderId="0" xfId="0" applyFont="1"/>
    <xf numFmtId="44" fontId="1" fillId="3" borderId="1" xfId="0" applyNumberFormat="1" applyFont="1" applyFill="1" applyBorder="1" applyAlignment="1">
      <alignment horizontal="center"/>
    </xf>
    <xf numFmtId="0" fontId="4" fillId="5" borderId="1" xfId="0" applyFont="1" applyFill="1" applyBorder="1"/>
    <xf numFmtId="44" fontId="1" fillId="5" borderId="1" xfId="0" applyNumberFormat="1" applyFont="1" applyFill="1" applyBorder="1"/>
    <xf numFmtId="44" fontId="4" fillId="5" borderId="1" xfId="0" applyNumberFormat="1" applyFont="1" applyFill="1" applyBorder="1"/>
    <xf numFmtId="44" fontId="4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9" fontId="4" fillId="0" borderId="0" xfId="0" applyNumberFormat="1" applyFont="1"/>
    <xf numFmtId="165" fontId="5" fillId="0" borderId="0" xfId="0" applyNumberFormat="1" applyFont="1"/>
    <xf numFmtId="0" fontId="1" fillId="3" borderId="4" xfId="0" applyFont="1" applyFill="1" applyBorder="1" applyAlignment="1">
      <alignment horizontal="center"/>
    </xf>
    <xf numFmtId="0" fontId="6" fillId="0" borderId="5" xfId="0" applyFont="1" applyBorder="1"/>
    <xf numFmtId="0" fontId="5" fillId="0" borderId="7" xfId="0" applyFont="1" applyBorder="1" applyAlignment="1">
      <alignment horizontal="center"/>
    </xf>
    <xf numFmtId="0" fontId="6" fillId="0" borderId="7" xfId="0" applyFont="1" applyBorder="1"/>
    <xf numFmtId="0" fontId="5" fillId="0" borderId="8" xfId="0" applyFont="1" applyBorder="1" applyAlignment="1">
      <alignment horizontal="center"/>
    </xf>
    <xf numFmtId="0" fontId="6" fillId="0" borderId="9" xfId="0" applyFont="1" applyBorder="1"/>
    <xf numFmtId="0" fontId="8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customschemas.google.com/relationships/workbookmetadata" Target="metadata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77"/>
  <sheetViews>
    <sheetView workbookViewId="0"/>
  </sheetViews>
  <sheetFormatPr defaultColWidth="14.42578125" defaultRowHeight="15" customHeight="1" x14ac:dyDescent="0.25"/>
  <cols>
    <col min="1" max="1" width="16.7109375" customWidth="1"/>
    <col min="3" max="3" width="16" customWidth="1"/>
    <col min="4" max="4" width="16.140625" customWidth="1"/>
    <col min="5" max="5" width="16.7109375" customWidth="1"/>
    <col min="6" max="6" width="13.28515625" customWidth="1"/>
    <col min="7" max="7" width="14.5703125" customWidth="1"/>
    <col min="10" max="14" width="14.140625" customWidth="1"/>
    <col min="15" max="15" width="12.85546875" customWidth="1"/>
    <col min="16" max="16" width="12.5703125" customWidth="1"/>
    <col min="17" max="17" width="8.7109375" customWidth="1"/>
    <col min="18" max="18" width="13.42578125" customWidth="1"/>
    <col min="19" max="31" width="8.7109375" customWidth="1"/>
  </cols>
  <sheetData>
    <row r="1" spans="1:31" x14ac:dyDescent="0.25">
      <c r="A1" s="1" t="s">
        <v>0</v>
      </c>
      <c r="B1" s="1"/>
      <c r="C1" s="1"/>
      <c r="D1" s="1"/>
      <c r="E1" s="1"/>
      <c r="F1" s="1"/>
      <c r="G1" s="1"/>
    </row>
    <row r="2" spans="1:31" x14ac:dyDescent="0.2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ht="26.25" x14ac:dyDescent="0.25">
      <c r="A3" s="6" t="s">
        <v>14</v>
      </c>
      <c r="B3" s="6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7" t="s">
        <v>23</v>
      </c>
      <c r="K3" s="7" t="s">
        <v>24</v>
      </c>
      <c r="L3" s="7" t="s">
        <v>25</v>
      </c>
      <c r="M3" s="7" t="s">
        <v>26</v>
      </c>
      <c r="N3" s="7" t="s">
        <v>27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x14ac:dyDescent="0.25">
      <c r="A4" s="8" t="s">
        <v>28</v>
      </c>
      <c r="B4" s="9">
        <f t="shared" ref="B4:B7" si="0">SUM(C4:N4)</f>
        <v>43912.55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>
        <v>43912.55</v>
      </c>
      <c r="N4" s="10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x14ac:dyDescent="0.25">
      <c r="A5" s="8" t="s">
        <v>29</v>
      </c>
      <c r="B5" s="9">
        <f t="shared" si="0"/>
        <v>288968.43000000005</v>
      </c>
      <c r="C5" s="11">
        <v>9091.86</v>
      </c>
      <c r="D5" s="11">
        <v>184435.27</v>
      </c>
      <c r="E5" s="11">
        <v>28592.54</v>
      </c>
      <c r="F5" s="12"/>
      <c r="G5" s="10"/>
      <c r="H5" s="10"/>
      <c r="I5" s="10"/>
      <c r="J5" s="10"/>
      <c r="K5" s="10"/>
      <c r="L5" s="10">
        <v>46973</v>
      </c>
      <c r="M5" s="10"/>
      <c r="N5" s="10">
        <v>19875.759999999998</v>
      </c>
      <c r="O5" s="13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x14ac:dyDescent="0.25">
      <c r="A6" s="8" t="s">
        <v>30</v>
      </c>
      <c r="B6" s="9">
        <f t="shared" si="0"/>
        <v>265172.06</v>
      </c>
      <c r="C6" s="10">
        <v>68302.960000000006</v>
      </c>
      <c r="D6" s="11">
        <v>172372.55</v>
      </c>
      <c r="E6" s="10">
        <v>3457.51</v>
      </c>
      <c r="F6" s="10">
        <v>21039.040000000001</v>
      </c>
      <c r="G6" s="10">
        <v>0</v>
      </c>
      <c r="H6" s="10"/>
      <c r="I6" s="10"/>
      <c r="J6" s="10"/>
      <c r="K6" s="10"/>
      <c r="L6" s="10"/>
      <c r="M6" s="10"/>
      <c r="N6" s="10"/>
    </row>
    <row r="7" spans="1:31" x14ac:dyDescent="0.25">
      <c r="A7" s="8" t="s">
        <v>31</v>
      </c>
      <c r="B7" s="9">
        <f t="shared" si="0"/>
        <v>1231693.2999999998</v>
      </c>
      <c r="C7" s="10">
        <v>379267.6</v>
      </c>
      <c r="D7" s="10">
        <v>148911.46</v>
      </c>
      <c r="E7" s="10">
        <v>543079.30000000005</v>
      </c>
      <c r="F7" s="10">
        <v>55599.09</v>
      </c>
      <c r="G7" s="10"/>
      <c r="H7" s="10">
        <v>0</v>
      </c>
      <c r="I7" s="10">
        <v>1336.22</v>
      </c>
      <c r="J7" s="10"/>
      <c r="K7" s="10">
        <v>9364.3799999999992</v>
      </c>
      <c r="L7" s="10">
        <v>94135.25</v>
      </c>
      <c r="M7" s="10"/>
      <c r="N7" s="10"/>
      <c r="O7" s="14"/>
    </row>
    <row r="8" spans="1:31" x14ac:dyDescent="0.25">
      <c r="A8" s="8"/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4"/>
      <c r="AA8" s="5"/>
      <c r="AB8" s="5"/>
    </row>
    <row r="9" spans="1:31" x14ac:dyDescent="0.25">
      <c r="A9" s="1" t="s">
        <v>32</v>
      </c>
      <c r="B9" s="15">
        <f t="shared" ref="B9:N9" si="1">SUM(B4:B8)</f>
        <v>1829746.3399999999</v>
      </c>
      <c r="C9" s="15">
        <f t="shared" si="1"/>
        <v>456662.42</v>
      </c>
      <c r="D9" s="15">
        <f t="shared" si="1"/>
        <v>505719.27999999991</v>
      </c>
      <c r="E9" s="15">
        <f t="shared" si="1"/>
        <v>575129.35000000009</v>
      </c>
      <c r="F9" s="15">
        <f t="shared" si="1"/>
        <v>76638.13</v>
      </c>
      <c r="G9" s="15">
        <f t="shared" si="1"/>
        <v>0</v>
      </c>
      <c r="H9" s="15">
        <f t="shared" si="1"/>
        <v>0</v>
      </c>
      <c r="I9" s="15">
        <f t="shared" si="1"/>
        <v>1336.22</v>
      </c>
      <c r="J9" s="15">
        <f t="shared" si="1"/>
        <v>0</v>
      </c>
      <c r="K9" s="15">
        <f t="shared" si="1"/>
        <v>9364.3799999999992</v>
      </c>
      <c r="L9" s="15">
        <f t="shared" si="1"/>
        <v>141108.25</v>
      </c>
      <c r="M9" s="15">
        <f t="shared" si="1"/>
        <v>43912.55</v>
      </c>
      <c r="N9" s="15">
        <f t="shared" si="1"/>
        <v>19875.759999999998</v>
      </c>
      <c r="AA9" s="5"/>
      <c r="AB9" s="5"/>
    </row>
    <row r="10" spans="1:31" x14ac:dyDescent="0.25">
      <c r="A10" s="1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4"/>
      <c r="AA10" s="5"/>
      <c r="AB10" s="5"/>
    </row>
    <row r="11" spans="1:31" x14ac:dyDescent="0.25">
      <c r="A11" s="67" t="s">
        <v>33</v>
      </c>
      <c r="B11" s="16"/>
      <c r="C11" s="17" t="s">
        <v>3</v>
      </c>
      <c r="D11" s="17" t="s">
        <v>4</v>
      </c>
      <c r="E11" s="17" t="s">
        <v>5</v>
      </c>
      <c r="F11" s="17" t="s">
        <v>6</v>
      </c>
      <c r="G11" s="17" t="s">
        <v>34</v>
      </c>
      <c r="H11" s="17" t="s">
        <v>35</v>
      </c>
      <c r="I11" s="17" t="s">
        <v>8</v>
      </c>
      <c r="J11" s="17" t="s">
        <v>36</v>
      </c>
      <c r="K11" s="17" t="s">
        <v>37</v>
      </c>
      <c r="L11" s="17" t="s">
        <v>38</v>
      </c>
      <c r="M11" s="17" t="s">
        <v>12</v>
      </c>
      <c r="N11" s="17" t="s">
        <v>13</v>
      </c>
      <c r="AA11" s="5"/>
      <c r="AB11" s="5"/>
    </row>
    <row r="12" spans="1:31" x14ac:dyDescent="0.25">
      <c r="A12" s="68"/>
      <c r="B12" s="16">
        <f>SUM(C12:N12)</f>
        <v>1829746.34</v>
      </c>
      <c r="C12" s="18">
        <f t="shared" ref="C12:N12" si="2">C9</f>
        <v>456662.42</v>
      </c>
      <c r="D12" s="18">
        <f t="shared" si="2"/>
        <v>505719.27999999991</v>
      </c>
      <c r="E12" s="18">
        <f t="shared" si="2"/>
        <v>575129.35000000009</v>
      </c>
      <c r="F12" s="18">
        <f t="shared" si="2"/>
        <v>76638.13</v>
      </c>
      <c r="G12" s="18">
        <f t="shared" si="2"/>
        <v>0</v>
      </c>
      <c r="H12" s="18">
        <f t="shared" si="2"/>
        <v>0</v>
      </c>
      <c r="I12" s="18">
        <f t="shared" si="2"/>
        <v>1336.22</v>
      </c>
      <c r="J12" s="18">
        <f t="shared" si="2"/>
        <v>0</v>
      </c>
      <c r="K12" s="18">
        <f t="shared" si="2"/>
        <v>9364.3799999999992</v>
      </c>
      <c r="L12" s="18">
        <f t="shared" si="2"/>
        <v>141108.25</v>
      </c>
      <c r="M12" s="18">
        <f t="shared" si="2"/>
        <v>43912.55</v>
      </c>
      <c r="N12" s="18">
        <f t="shared" si="2"/>
        <v>19875.759999999998</v>
      </c>
      <c r="O12" s="14"/>
      <c r="AA12" s="5"/>
      <c r="AB12" s="5"/>
    </row>
    <row r="13" spans="1:31" x14ac:dyDescent="0.25">
      <c r="A13" s="19" t="s">
        <v>39</v>
      </c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AA13" s="5"/>
      <c r="AB13" s="5"/>
    </row>
    <row r="14" spans="1:31" x14ac:dyDescent="0.25">
      <c r="A14" s="20" t="s">
        <v>40</v>
      </c>
      <c r="B14" s="10"/>
      <c r="C14" s="10">
        <v>451183.99</v>
      </c>
      <c r="D14" s="10">
        <v>116356.73</v>
      </c>
      <c r="E14" s="10">
        <v>312259</v>
      </c>
      <c r="F14" s="10"/>
      <c r="G14" s="10"/>
      <c r="H14" s="10"/>
      <c r="I14" s="10">
        <v>216017</v>
      </c>
      <c r="J14" s="10">
        <v>248877</v>
      </c>
      <c r="K14" s="10">
        <v>44593</v>
      </c>
      <c r="L14" s="10">
        <v>580.13</v>
      </c>
      <c r="M14" s="10">
        <v>261.77999999999997</v>
      </c>
      <c r="N14" s="10"/>
      <c r="O14" s="14"/>
      <c r="AA14" s="5"/>
      <c r="AB14" s="5"/>
    </row>
    <row r="15" spans="1:31" x14ac:dyDescent="0.25">
      <c r="A15" s="20" t="s">
        <v>41</v>
      </c>
      <c r="B15" s="10"/>
      <c r="C15" s="10"/>
      <c r="D15" s="10"/>
      <c r="E15" s="10"/>
      <c r="F15" s="10"/>
      <c r="AA15" s="5"/>
      <c r="AB15" s="5"/>
    </row>
    <row r="16" spans="1:31" x14ac:dyDescent="0.25">
      <c r="A16" s="21" t="s">
        <v>42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4"/>
      <c r="AA16" s="5"/>
      <c r="AB16" s="5"/>
    </row>
    <row r="17" spans="1:31" x14ac:dyDescent="0.25">
      <c r="A17" s="21" t="s">
        <v>43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22"/>
      <c r="P17" s="22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5"/>
      <c r="AB17" s="5"/>
      <c r="AC17" s="23"/>
      <c r="AD17" s="23"/>
      <c r="AE17" s="23"/>
    </row>
    <row r="18" spans="1:31" x14ac:dyDescent="0.25">
      <c r="A18" s="21" t="s">
        <v>44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22"/>
      <c r="P18" s="22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5"/>
      <c r="AB18" s="5"/>
      <c r="AC18" s="23"/>
      <c r="AD18" s="23"/>
      <c r="AE18" s="23"/>
    </row>
    <row r="19" spans="1:31" x14ac:dyDescent="0.25">
      <c r="A19" s="21" t="s">
        <v>45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AA19" s="5"/>
      <c r="AB19" s="5"/>
    </row>
    <row r="20" spans="1:31" x14ac:dyDescent="0.25">
      <c r="A20" s="21" t="s">
        <v>46</v>
      </c>
      <c r="B20" s="10"/>
      <c r="C20" s="10"/>
      <c r="D20" s="10"/>
      <c r="E20" s="10"/>
      <c r="G20" s="10"/>
      <c r="H20" s="10"/>
      <c r="I20" s="10"/>
      <c r="J20" s="10"/>
      <c r="K20" s="10"/>
      <c r="L20" s="10"/>
      <c r="M20" s="10"/>
      <c r="N20" s="10"/>
      <c r="AA20" s="5"/>
      <c r="AB20" s="5"/>
    </row>
    <row r="21" spans="1:31" ht="15.75" customHeight="1" x14ac:dyDescent="0.25">
      <c r="A21" s="21" t="s">
        <v>47</v>
      </c>
      <c r="B21" s="10"/>
      <c r="C21" s="10"/>
      <c r="D21" s="10"/>
      <c r="E21" s="10"/>
      <c r="F21" s="10"/>
      <c r="H21" s="24"/>
      <c r="I21" s="24"/>
      <c r="J21" s="10"/>
      <c r="K21" s="10"/>
      <c r="L21" s="10"/>
      <c r="M21" s="10"/>
      <c r="N21" s="10"/>
      <c r="O21" s="25"/>
      <c r="P21" s="25"/>
      <c r="Q21" s="25"/>
      <c r="AA21" s="5"/>
      <c r="AB21" s="5"/>
    </row>
    <row r="22" spans="1:31" ht="15.75" customHeight="1" x14ac:dyDescent="0.25">
      <c r="A22" s="1" t="s">
        <v>48</v>
      </c>
      <c r="B22" s="26">
        <f t="shared" ref="B22:B24" si="3">SUM(C22:N22)</f>
        <v>1390128.63</v>
      </c>
      <c r="C22" s="9">
        <f t="shared" ref="C22:N22" si="4">SUM(C14:C21)</f>
        <v>451183.99</v>
      </c>
      <c r="D22" s="9">
        <f t="shared" si="4"/>
        <v>116356.73</v>
      </c>
      <c r="E22" s="9">
        <f t="shared" si="4"/>
        <v>312259</v>
      </c>
      <c r="F22" s="9">
        <f t="shared" si="4"/>
        <v>0</v>
      </c>
      <c r="G22" s="9">
        <f t="shared" si="4"/>
        <v>0</v>
      </c>
      <c r="H22" s="9">
        <f t="shared" si="4"/>
        <v>0</v>
      </c>
      <c r="I22" s="9">
        <f t="shared" si="4"/>
        <v>216017</v>
      </c>
      <c r="J22" s="9">
        <f t="shared" si="4"/>
        <v>248877</v>
      </c>
      <c r="K22" s="9">
        <f t="shared" si="4"/>
        <v>44593</v>
      </c>
      <c r="L22" s="9">
        <f t="shared" si="4"/>
        <v>580.13</v>
      </c>
      <c r="M22" s="9">
        <f t="shared" si="4"/>
        <v>261.77999999999997</v>
      </c>
      <c r="N22" s="9">
        <f t="shared" si="4"/>
        <v>0</v>
      </c>
      <c r="O22" s="10"/>
      <c r="P22" s="10"/>
      <c r="Q22" s="10"/>
      <c r="AA22" s="5"/>
      <c r="AB22" s="5"/>
    </row>
    <row r="23" spans="1:31" ht="15.75" customHeight="1" x14ac:dyDescent="0.25">
      <c r="A23" s="1" t="s">
        <v>49</v>
      </c>
      <c r="B23" s="26">
        <f t="shared" si="3"/>
        <v>5629.8200000000006</v>
      </c>
      <c r="C23" s="10">
        <v>1439.63</v>
      </c>
      <c r="D23" s="10">
        <v>1594.27</v>
      </c>
      <c r="E23" s="10">
        <v>1813.09</v>
      </c>
      <c r="F23" s="10">
        <v>241.6</v>
      </c>
      <c r="G23" s="21"/>
      <c r="H23" s="21"/>
      <c r="I23" s="21">
        <v>4.21</v>
      </c>
      <c r="J23" s="21"/>
      <c r="K23" s="21">
        <v>92.18</v>
      </c>
      <c r="L23" s="21">
        <v>444.84</v>
      </c>
      <c r="M23" s="21"/>
      <c r="N23" s="21"/>
      <c r="O23" s="10"/>
      <c r="P23" s="10"/>
      <c r="Q23" s="10"/>
      <c r="AA23" s="5"/>
      <c r="AB23" s="5"/>
    </row>
    <row r="24" spans="1:31" ht="15.75" customHeight="1" x14ac:dyDescent="0.25">
      <c r="A24" s="1" t="s">
        <v>50</v>
      </c>
      <c r="B24" s="26">
        <f t="shared" si="3"/>
        <v>103112.53</v>
      </c>
      <c r="C24" s="10">
        <v>25997.68</v>
      </c>
      <c r="D24" s="10">
        <v>555.4</v>
      </c>
      <c r="E24" s="10">
        <v>71021.87</v>
      </c>
      <c r="F24" s="10">
        <v>5537.58</v>
      </c>
      <c r="G24" s="10"/>
      <c r="H24" s="10"/>
      <c r="I24" s="10"/>
      <c r="J24" s="10"/>
      <c r="K24" s="10"/>
      <c r="L24" s="10"/>
      <c r="M24" s="10"/>
      <c r="N24" s="10"/>
      <c r="O24" s="14"/>
      <c r="P24" s="14"/>
      <c r="Q24" s="14"/>
      <c r="R24" s="14"/>
      <c r="AA24" s="5"/>
      <c r="AB24" s="5"/>
    </row>
    <row r="25" spans="1:31" ht="15.75" customHeight="1" x14ac:dyDescent="0.25">
      <c r="A25" s="1" t="s">
        <v>51</v>
      </c>
      <c r="B25" s="9">
        <f>C25+D25+E25+F25+I25</f>
        <v>0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4"/>
      <c r="P25" s="14"/>
      <c r="Q25" s="14"/>
      <c r="R25" s="14"/>
      <c r="AA25" s="5"/>
      <c r="AB25" s="5"/>
    </row>
    <row r="26" spans="1:31" ht="15.75" customHeight="1" x14ac:dyDescent="0.25">
      <c r="A26" s="1" t="s">
        <v>46</v>
      </c>
      <c r="B26" s="9"/>
      <c r="C26" s="10">
        <v>18.21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4"/>
      <c r="P26" s="14"/>
      <c r="Q26" s="14"/>
      <c r="R26" s="14"/>
      <c r="AA26" s="5"/>
      <c r="AB26" s="5"/>
    </row>
    <row r="27" spans="1:31" ht="15.75" customHeight="1" x14ac:dyDescent="0.25">
      <c r="A27" s="1" t="s">
        <v>52</v>
      </c>
      <c r="B27" s="9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R27" s="14"/>
      <c r="AA27" s="5"/>
    </row>
    <row r="28" spans="1:31" ht="15.75" customHeight="1" x14ac:dyDescent="0.25">
      <c r="A28" s="1" t="s">
        <v>53</v>
      </c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R28" s="14"/>
      <c r="AA28" s="5"/>
    </row>
    <row r="29" spans="1:31" ht="15.75" customHeight="1" x14ac:dyDescent="0.25">
      <c r="A29" s="1" t="s">
        <v>54</v>
      </c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R29" s="14"/>
      <c r="AA29" s="5"/>
    </row>
    <row r="30" spans="1:31" ht="15.75" customHeight="1" x14ac:dyDescent="0.25">
      <c r="A30" s="1" t="s">
        <v>47</v>
      </c>
      <c r="B30" s="9"/>
      <c r="C30" s="10">
        <v>5863.14</v>
      </c>
      <c r="D30" s="10"/>
      <c r="E30" s="10"/>
      <c r="F30" s="10"/>
      <c r="G30" s="10"/>
      <c r="H30" s="10"/>
      <c r="I30" s="10"/>
      <c r="J30" s="10"/>
      <c r="K30" s="10"/>
      <c r="L30" s="10"/>
      <c r="M30" s="10">
        <v>3186.48</v>
      </c>
      <c r="N30" s="10"/>
      <c r="R30" s="14"/>
      <c r="AC30" s="27"/>
    </row>
    <row r="31" spans="1:31" ht="15.75" customHeight="1" x14ac:dyDescent="0.25">
      <c r="A31" s="1" t="s">
        <v>55</v>
      </c>
      <c r="B31" s="26">
        <f>SUM(C31:N31)</f>
        <v>112180.35999999999</v>
      </c>
      <c r="C31" s="10">
        <f t="shared" ref="C31:N31" si="5">SUM(C24:C30)</f>
        <v>31879.03</v>
      </c>
      <c r="D31" s="10">
        <f t="shared" si="5"/>
        <v>555.4</v>
      </c>
      <c r="E31" s="10">
        <f t="shared" si="5"/>
        <v>71021.87</v>
      </c>
      <c r="F31" s="10">
        <f t="shared" si="5"/>
        <v>5537.58</v>
      </c>
      <c r="G31" s="10">
        <f t="shared" si="5"/>
        <v>0</v>
      </c>
      <c r="H31" s="10">
        <f t="shared" si="5"/>
        <v>0</v>
      </c>
      <c r="I31" s="10">
        <f t="shared" si="5"/>
        <v>0</v>
      </c>
      <c r="J31" s="10">
        <f t="shared" si="5"/>
        <v>0</v>
      </c>
      <c r="K31" s="10">
        <f t="shared" si="5"/>
        <v>0</v>
      </c>
      <c r="L31" s="10">
        <f t="shared" si="5"/>
        <v>0</v>
      </c>
      <c r="M31" s="10">
        <f t="shared" si="5"/>
        <v>3186.48</v>
      </c>
      <c r="N31" s="10">
        <f t="shared" si="5"/>
        <v>0</v>
      </c>
      <c r="R31" s="14"/>
    </row>
    <row r="32" spans="1:31" ht="15.75" customHeight="1" x14ac:dyDescent="0.25">
      <c r="A32" s="1" t="s">
        <v>56</v>
      </c>
      <c r="B32" s="26">
        <f>C32+E32+D32</f>
        <v>17126.560000000001</v>
      </c>
      <c r="C32" s="10">
        <v>5799.85</v>
      </c>
      <c r="D32" s="10">
        <v>853.2</v>
      </c>
      <c r="E32" s="10">
        <v>10473.51</v>
      </c>
      <c r="F32" s="10"/>
      <c r="H32" s="25"/>
      <c r="I32" s="25"/>
      <c r="J32" s="25"/>
      <c r="K32" s="25"/>
      <c r="L32" s="25"/>
      <c r="M32" s="25"/>
      <c r="N32" s="25"/>
    </row>
    <row r="33" spans="1:15" ht="15.75" customHeight="1" x14ac:dyDescent="0.25">
      <c r="A33" s="1" t="s">
        <v>56</v>
      </c>
      <c r="B33" s="26">
        <f t="shared" ref="B33:B35" si="6">SUM(C33:G33)</f>
        <v>26189.279999999999</v>
      </c>
      <c r="C33" s="10">
        <v>15432.58</v>
      </c>
      <c r="D33" s="10">
        <v>1232.27</v>
      </c>
      <c r="E33" s="10">
        <v>9524.43</v>
      </c>
    </row>
    <row r="34" spans="1:15" ht="15.75" customHeight="1" x14ac:dyDescent="0.25">
      <c r="A34" s="1" t="s">
        <v>56</v>
      </c>
      <c r="B34" s="26">
        <f t="shared" si="6"/>
        <v>0</v>
      </c>
      <c r="C34" s="10"/>
      <c r="D34" s="10"/>
      <c r="E34" s="10"/>
    </row>
    <row r="35" spans="1:15" ht="15.75" customHeight="1" x14ac:dyDescent="0.25">
      <c r="A35" s="1" t="s">
        <v>56</v>
      </c>
      <c r="B35" s="26">
        <f t="shared" si="6"/>
        <v>0</v>
      </c>
      <c r="C35" s="10"/>
      <c r="D35" s="10"/>
      <c r="E35" s="10"/>
    </row>
    <row r="36" spans="1:15" ht="15.75" customHeight="1" x14ac:dyDescent="0.25">
      <c r="A36" s="1" t="s">
        <v>57</v>
      </c>
      <c r="B36" s="15">
        <f t="shared" ref="B36:B37" si="7">SUM(C36:N36)</f>
        <v>3068709.34</v>
      </c>
      <c r="C36" s="12">
        <f t="shared" ref="C36:E36" si="8">C12+C22+C23-C33-C31-C32-C34-C35</f>
        <v>856174.58</v>
      </c>
      <c r="D36" s="12">
        <f t="shared" si="8"/>
        <v>621029.40999999992</v>
      </c>
      <c r="E36" s="12">
        <f t="shared" si="8"/>
        <v>798181.63</v>
      </c>
      <c r="F36" s="12">
        <f t="shared" ref="F36:L36" si="9">F12+F22+F23-F33-F31-F32-F34</f>
        <v>71342.150000000009</v>
      </c>
      <c r="G36" s="12">
        <f t="shared" si="9"/>
        <v>0</v>
      </c>
      <c r="H36" s="12">
        <f t="shared" si="9"/>
        <v>0</v>
      </c>
      <c r="I36" s="12">
        <f t="shared" si="9"/>
        <v>217357.43</v>
      </c>
      <c r="J36" s="12">
        <f t="shared" si="9"/>
        <v>248877</v>
      </c>
      <c r="K36" s="12">
        <f t="shared" si="9"/>
        <v>54049.56</v>
      </c>
      <c r="L36" s="12">
        <f t="shared" si="9"/>
        <v>142133.22</v>
      </c>
      <c r="M36" s="12">
        <f>B59-M31</f>
        <v>39688.60000000002</v>
      </c>
      <c r="N36" s="12">
        <f>N12+N22+N23-N33-N31-N32-N34</f>
        <v>19875.759999999998</v>
      </c>
    </row>
    <row r="37" spans="1:15" ht="15.75" customHeight="1" x14ac:dyDescent="0.25">
      <c r="A37" s="1" t="s">
        <v>58</v>
      </c>
      <c r="B37" s="9">
        <f t="shared" si="7"/>
        <v>3068709.3400000003</v>
      </c>
      <c r="C37" s="12">
        <v>856174.58</v>
      </c>
      <c r="D37" s="12">
        <v>621029.41</v>
      </c>
      <c r="E37" s="12">
        <v>798181.63</v>
      </c>
      <c r="F37" s="12">
        <v>71342.149999999994</v>
      </c>
      <c r="G37" s="12">
        <v>0</v>
      </c>
      <c r="H37" s="12">
        <v>0</v>
      </c>
      <c r="I37" s="12">
        <f>216021.21+1336.22</f>
        <v>217357.43</v>
      </c>
      <c r="J37" s="12">
        <v>248877</v>
      </c>
      <c r="K37" s="12">
        <v>54049.56</v>
      </c>
      <c r="L37" s="12">
        <v>142133.22</v>
      </c>
      <c r="M37" s="12">
        <v>39688.6</v>
      </c>
      <c r="N37" s="12">
        <v>19875.759999999998</v>
      </c>
    </row>
    <row r="38" spans="1:15" ht="15.75" customHeight="1" x14ac:dyDescent="0.25">
      <c r="A38" s="1" t="s">
        <v>59</v>
      </c>
      <c r="B38" s="9">
        <f t="shared" ref="B38:N38" si="10">B37-B36</f>
        <v>0</v>
      </c>
      <c r="C38" s="9">
        <f t="shared" si="10"/>
        <v>0</v>
      </c>
      <c r="D38" s="9">
        <f t="shared" si="10"/>
        <v>0</v>
      </c>
      <c r="E38" s="9">
        <f t="shared" si="10"/>
        <v>0</v>
      </c>
      <c r="F38" s="9">
        <f t="shared" si="10"/>
        <v>0</v>
      </c>
      <c r="G38" s="9">
        <f t="shared" si="10"/>
        <v>0</v>
      </c>
      <c r="H38" s="9">
        <f t="shared" si="10"/>
        <v>0</v>
      </c>
      <c r="I38" s="9">
        <f t="shared" si="10"/>
        <v>0</v>
      </c>
      <c r="J38" s="9">
        <f t="shared" si="10"/>
        <v>0</v>
      </c>
      <c r="K38" s="9">
        <f t="shared" si="10"/>
        <v>0</v>
      </c>
      <c r="L38" s="9">
        <f t="shared" si="10"/>
        <v>0</v>
      </c>
      <c r="M38" s="9">
        <f t="shared" si="10"/>
        <v>0</v>
      </c>
      <c r="N38" s="9">
        <f t="shared" si="10"/>
        <v>0</v>
      </c>
      <c r="O38" s="12"/>
    </row>
    <row r="39" spans="1:15" ht="15.75" customHeight="1" x14ac:dyDescent="0.25">
      <c r="A39" s="28"/>
      <c r="B39" s="16"/>
      <c r="C39" s="17"/>
      <c r="D39" s="17"/>
      <c r="E39" s="17"/>
      <c r="F39" s="17"/>
      <c r="G39" s="17" t="s">
        <v>60</v>
      </c>
      <c r="H39" s="17"/>
      <c r="I39" s="17"/>
      <c r="J39" s="17"/>
      <c r="K39" s="17"/>
      <c r="L39" s="17"/>
      <c r="M39" s="17"/>
      <c r="N39" s="17"/>
    </row>
    <row r="40" spans="1:15" ht="15.75" customHeight="1" x14ac:dyDescent="0.25">
      <c r="A40" s="29" t="s">
        <v>61</v>
      </c>
      <c r="B40" s="16">
        <f>M9</f>
        <v>43912.55</v>
      </c>
      <c r="C40" s="17" t="s">
        <v>3</v>
      </c>
      <c r="D40" s="17" t="s">
        <v>4</v>
      </c>
      <c r="E40" s="17" t="s">
        <v>5</v>
      </c>
      <c r="F40" s="17" t="s">
        <v>6</v>
      </c>
      <c r="G40" s="17" t="s">
        <v>34</v>
      </c>
      <c r="H40" s="17" t="s">
        <v>35</v>
      </c>
      <c r="I40" s="17" t="s">
        <v>8</v>
      </c>
      <c r="J40" s="17" t="s">
        <v>36</v>
      </c>
      <c r="K40" s="17" t="s">
        <v>37</v>
      </c>
      <c r="L40" s="17" t="s">
        <v>38</v>
      </c>
      <c r="M40" s="17" t="s">
        <v>12</v>
      </c>
      <c r="N40" s="17" t="s">
        <v>13</v>
      </c>
    </row>
    <row r="41" spans="1:15" ht="15.75" customHeight="1" x14ac:dyDescent="0.25">
      <c r="A41" s="19" t="s">
        <v>62</v>
      </c>
      <c r="B41" s="10">
        <f>C41+E41+D41</f>
        <v>17126.560000000001</v>
      </c>
      <c r="C41" s="10">
        <v>5799.85</v>
      </c>
      <c r="D41" s="10">
        <v>853.2</v>
      </c>
      <c r="E41" s="10">
        <v>10473.51</v>
      </c>
      <c r="F41" s="10"/>
      <c r="H41" s="25"/>
      <c r="I41" s="25"/>
      <c r="J41" s="25"/>
      <c r="K41" s="25"/>
      <c r="L41" s="25"/>
      <c r="M41" s="25"/>
      <c r="N41" s="25"/>
    </row>
    <row r="42" spans="1:15" ht="15.75" customHeight="1" x14ac:dyDescent="0.25">
      <c r="A42" s="10"/>
      <c r="B42" s="10">
        <f t="shared" ref="B42:B45" si="11">C42+D42+E42</f>
        <v>26189.279999999999</v>
      </c>
      <c r="C42" s="10">
        <v>15432.58</v>
      </c>
      <c r="D42" s="10">
        <v>1232.27</v>
      </c>
      <c r="E42" s="10">
        <v>9524.43</v>
      </c>
      <c r="H42" s="25"/>
      <c r="I42" s="25"/>
      <c r="J42" s="25"/>
      <c r="K42" s="25"/>
      <c r="L42" s="25"/>
      <c r="M42" s="25"/>
      <c r="N42" s="25"/>
    </row>
    <row r="43" spans="1:15" ht="15.75" customHeight="1" x14ac:dyDescent="0.25">
      <c r="A43" s="21"/>
      <c r="B43" s="10">
        <f t="shared" si="11"/>
        <v>0</v>
      </c>
      <c r="C43" s="10"/>
      <c r="D43" s="10"/>
      <c r="E43" s="10"/>
      <c r="H43" s="25"/>
      <c r="I43" s="25"/>
      <c r="J43" s="25"/>
      <c r="K43" s="25"/>
      <c r="L43" s="25"/>
      <c r="M43" s="25"/>
      <c r="N43" s="25"/>
    </row>
    <row r="44" spans="1:15" ht="15.75" customHeight="1" x14ac:dyDescent="0.25">
      <c r="A44" s="21"/>
      <c r="B44" s="10">
        <f t="shared" si="11"/>
        <v>0</v>
      </c>
      <c r="C44" s="10"/>
      <c r="D44" s="10"/>
      <c r="E44" s="10"/>
      <c r="F44" s="10"/>
      <c r="H44" s="21"/>
      <c r="I44" s="21"/>
      <c r="J44" s="21"/>
      <c r="K44" s="21"/>
      <c r="L44" s="21"/>
      <c r="M44" s="21"/>
      <c r="N44" s="21"/>
    </row>
    <row r="45" spans="1:15" ht="15.75" customHeight="1" x14ac:dyDescent="0.25">
      <c r="A45" s="21"/>
      <c r="B45" s="10">
        <f t="shared" si="11"/>
        <v>0</v>
      </c>
      <c r="C45" s="10"/>
      <c r="D45" s="10"/>
      <c r="E45" s="10"/>
      <c r="F45" s="10"/>
      <c r="H45" s="21"/>
      <c r="I45" s="21"/>
      <c r="J45" s="21"/>
      <c r="K45" s="21"/>
      <c r="L45" s="21"/>
      <c r="M45" s="21"/>
      <c r="N45" s="21"/>
    </row>
    <row r="46" spans="1:15" ht="15.75" customHeight="1" x14ac:dyDescent="0.25">
      <c r="A46" s="1" t="s">
        <v>63</v>
      </c>
      <c r="B46" s="26">
        <f t="shared" ref="B46:B47" si="12">M46</f>
        <v>43315.840000000004</v>
      </c>
      <c r="C46" s="10">
        <f t="shared" ref="C46:L46" si="13">SUM(C41:C45)</f>
        <v>21232.43</v>
      </c>
      <c r="D46" s="10">
        <f t="shared" si="13"/>
        <v>2085.4700000000003</v>
      </c>
      <c r="E46" s="10">
        <f t="shared" si="13"/>
        <v>19997.940000000002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I46" s="10">
        <f t="shared" si="13"/>
        <v>0</v>
      </c>
      <c r="J46" s="10">
        <f t="shared" si="13"/>
        <v>0</v>
      </c>
      <c r="K46" s="10">
        <f t="shared" si="13"/>
        <v>0</v>
      </c>
      <c r="L46" s="10">
        <f t="shared" si="13"/>
        <v>0</v>
      </c>
      <c r="M46" s="26">
        <f>SUM(C46:L46)</f>
        <v>43315.840000000004</v>
      </c>
      <c r="N46" s="9"/>
    </row>
    <row r="47" spans="1:15" ht="15.75" customHeight="1" x14ac:dyDescent="0.25">
      <c r="A47" s="1" t="s">
        <v>49</v>
      </c>
      <c r="B47" s="26">
        <f t="shared" si="12"/>
        <v>0</v>
      </c>
      <c r="D47" s="10"/>
      <c r="E47" s="10"/>
      <c r="F47" s="10"/>
      <c r="H47" s="9"/>
      <c r="I47" s="9"/>
      <c r="J47" s="9"/>
      <c r="K47" s="9"/>
      <c r="L47" s="9"/>
      <c r="M47" s="26"/>
      <c r="N47" s="9"/>
    </row>
    <row r="48" spans="1:15" ht="15.75" customHeight="1" x14ac:dyDescent="0.25">
      <c r="A48" s="1" t="s">
        <v>64</v>
      </c>
      <c r="B48" s="9"/>
      <c r="C48" s="10"/>
      <c r="D48" s="10"/>
      <c r="E48" s="10"/>
      <c r="F48" s="10"/>
      <c r="H48" s="10"/>
      <c r="I48" s="10"/>
      <c r="J48" s="10"/>
      <c r="K48" s="10"/>
      <c r="L48" s="10"/>
      <c r="M48" s="10"/>
      <c r="N48" s="10"/>
    </row>
    <row r="49" spans="1:15" ht="15.75" customHeight="1" x14ac:dyDescent="0.25">
      <c r="A49" s="21" t="s">
        <v>65</v>
      </c>
      <c r="C49" s="10"/>
      <c r="D49" s="10"/>
      <c r="E49" s="10"/>
      <c r="F49" s="10"/>
      <c r="H49" s="10"/>
      <c r="I49" s="10"/>
      <c r="J49" s="10"/>
      <c r="K49" s="10"/>
      <c r="L49" s="10"/>
      <c r="M49" s="10">
        <f>15961.89+11889.33</f>
        <v>27851.22</v>
      </c>
      <c r="N49" s="10"/>
      <c r="O49" s="10"/>
    </row>
    <row r="50" spans="1:15" ht="15.75" customHeight="1" x14ac:dyDescent="0.25">
      <c r="A50" s="21" t="s">
        <v>66</v>
      </c>
      <c r="C50" s="10"/>
      <c r="D50" s="10"/>
      <c r="E50" s="10"/>
      <c r="F50" s="10"/>
      <c r="H50" s="10"/>
      <c r="I50" s="10"/>
      <c r="J50" s="10"/>
      <c r="K50" s="10"/>
      <c r="L50" s="10"/>
      <c r="M50" s="10">
        <v>2269.16</v>
      </c>
      <c r="N50" s="10"/>
    </row>
    <row r="51" spans="1:15" ht="15.75" customHeight="1" x14ac:dyDescent="0.25">
      <c r="A51" s="21" t="s">
        <v>67</v>
      </c>
      <c r="C51" s="10"/>
      <c r="D51" s="10"/>
      <c r="E51" s="10"/>
      <c r="F51" s="10"/>
      <c r="H51" s="10"/>
      <c r="I51" s="10"/>
      <c r="J51" s="10"/>
      <c r="K51" s="10"/>
      <c r="L51" s="10"/>
      <c r="M51" s="10">
        <f>5301.8+3977.14</f>
        <v>9278.94</v>
      </c>
      <c r="N51" s="10"/>
    </row>
    <row r="52" spans="1:15" ht="15.75" customHeight="1" x14ac:dyDescent="0.25">
      <c r="A52" s="21" t="s">
        <v>68</v>
      </c>
      <c r="B52" s="10"/>
      <c r="C52" s="10"/>
      <c r="D52" s="10"/>
      <c r="E52" s="10"/>
      <c r="F52" s="10"/>
      <c r="H52" s="10"/>
      <c r="I52" s="10"/>
      <c r="J52" s="10"/>
      <c r="K52" s="10"/>
      <c r="L52" s="10"/>
      <c r="M52" s="10">
        <f>748.92+695.67</f>
        <v>1444.59</v>
      </c>
      <c r="N52" s="10"/>
    </row>
    <row r="53" spans="1:15" ht="15.75" customHeight="1" x14ac:dyDescent="0.25">
      <c r="A53" s="21" t="s">
        <v>69</v>
      </c>
      <c r="B53" s="10"/>
      <c r="C53" s="10"/>
      <c r="D53" s="10"/>
      <c r="E53" s="10"/>
      <c r="F53" s="10"/>
      <c r="H53" s="10"/>
      <c r="I53" s="10"/>
      <c r="J53" s="10"/>
      <c r="K53" s="10"/>
      <c r="L53" s="10"/>
      <c r="M53" s="10">
        <v>243</v>
      </c>
      <c r="N53" s="10"/>
    </row>
    <row r="54" spans="1:15" ht="15.75" customHeight="1" x14ac:dyDescent="0.25">
      <c r="A54" s="21" t="s">
        <v>70</v>
      </c>
      <c r="B54" s="10"/>
      <c r="C54" s="10"/>
      <c r="D54" s="10"/>
      <c r="E54" s="10"/>
      <c r="F54" s="10"/>
      <c r="H54" s="10"/>
      <c r="I54" s="10"/>
      <c r="J54" s="10"/>
      <c r="K54" s="10"/>
      <c r="L54" s="10"/>
      <c r="M54" s="10">
        <f>78.08+857.23</f>
        <v>935.31000000000006</v>
      </c>
      <c r="N54" s="10"/>
    </row>
    <row r="55" spans="1:15" ht="15.75" customHeight="1" x14ac:dyDescent="0.25">
      <c r="A55" s="21" t="s">
        <v>71</v>
      </c>
      <c r="B55" s="10"/>
      <c r="C55" s="10"/>
      <c r="D55" s="10"/>
      <c r="E55" s="10"/>
      <c r="F55" s="10"/>
      <c r="H55" s="10"/>
      <c r="I55" s="10"/>
      <c r="J55" s="10"/>
      <c r="K55" s="10"/>
      <c r="L55" s="10"/>
      <c r="M55" s="10">
        <v>1497.45</v>
      </c>
      <c r="N55" s="10"/>
    </row>
    <row r="56" spans="1:15" ht="15.75" customHeight="1" x14ac:dyDescent="0.25">
      <c r="A56" s="21" t="s">
        <v>72</v>
      </c>
      <c r="B56" s="10"/>
      <c r="C56" s="10"/>
      <c r="D56" s="10"/>
      <c r="E56" s="10"/>
      <c r="F56" s="10"/>
      <c r="H56" s="10"/>
      <c r="I56" s="10"/>
      <c r="J56" s="10"/>
      <c r="K56" s="10"/>
      <c r="L56" s="10"/>
      <c r="M56" s="10">
        <f>569.96+227.16</f>
        <v>797.12</v>
      </c>
      <c r="N56" s="10"/>
    </row>
    <row r="57" spans="1:15" ht="15.75" customHeight="1" x14ac:dyDescent="0.25">
      <c r="A57" s="21" t="s">
        <v>73</v>
      </c>
      <c r="B57" s="10"/>
      <c r="C57" s="10"/>
      <c r="D57" s="10"/>
      <c r="E57" s="10"/>
      <c r="F57" s="10"/>
      <c r="H57" s="10"/>
      <c r="I57" s="10"/>
      <c r="J57" s="10"/>
      <c r="K57" s="10"/>
      <c r="L57" s="10"/>
      <c r="M57" s="10">
        <v>36.520000000000003</v>
      </c>
      <c r="N57" s="10"/>
    </row>
    <row r="58" spans="1:15" ht="15.75" customHeight="1" x14ac:dyDescent="0.25">
      <c r="A58" s="1" t="s">
        <v>74</v>
      </c>
      <c r="B58" s="26">
        <f>SUM(C58:M58)</f>
        <v>44353.30999999999</v>
      </c>
      <c r="C58" s="10"/>
      <c r="D58" s="10"/>
      <c r="E58" s="10"/>
      <c r="F58" s="10"/>
      <c r="H58" s="9"/>
      <c r="I58" s="9"/>
      <c r="J58" s="9"/>
      <c r="K58" s="9"/>
      <c r="L58" s="9"/>
      <c r="M58" s="26">
        <f>SUM(M49:M57)</f>
        <v>44353.30999999999</v>
      </c>
      <c r="N58" s="9"/>
    </row>
    <row r="59" spans="1:15" ht="15.75" customHeight="1" x14ac:dyDescent="0.25">
      <c r="A59" s="1" t="s">
        <v>57</v>
      </c>
      <c r="B59" s="15">
        <f>B40+B46+B47-B58</f>
        <v>42875.080000000024</v>
      </c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5" ht="15.75" customHeight="1" x14ac:dyDescent="0.25">
      <c r="A60" s="1"/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5" ht="15.75" customHeight="1" x14ac:dyDescent="0.25">
      <c r="A61" s="2" t="s">
        <v>75</v>
      </c>
      <c r="B61" s="3" t="s">
        <v>2</v>
      </c>
      <c r="C61" s="4" t="s">
        <v>3</v>
      </c>
      <c r="D61" s="4" t="s">
        <v>4</v>
      </c>
      <c r="E61" s="4" t="s">
        <v>5</v>
      </c>
      <c r="F61" s="4" t="s">
        <v>6</v>
      </c>
      <c r="G61" s="4" t="s">
        <v>7</v>
      </c>
      <c r="H61" s="4" t="s">
        <v>7</v>
      </c>
      <c r="I61" s="4" t="s">
        <v>8</v>
      </c>
      <c r="J61" s="4" t="s">
        <v>9</v>
      </c>
      <c r="K61" s="4" t="s">
        <v>9</v>
      </c>
      <c r="L61" s="4" t="s">
        <v>9</v>
      </c>
      <c r="M61" s="4" t="s">
        <v>12</v>
      </c>
      <c r="N61" s="4" t="s">
        <v>13</v>
      </c>
    </row>
    <row r="62" spans="1:15" ht="15.75" customHeight="1" x14ac:dyDescent="0.25">
      <c r="A62" s="6" t="s">
        <v>14</v>
      </c>
      <c r="B62" s="6" t="s">
        <v>76</v>
      </c>
      <c r="C62" s="7" t="s">
        <v>16</v>
      </c>
      <c r="D62" s="7" t="s">
        <v>17</v>
      </c>
      <c r="E62" s="7" t="s">
        <v>18</v>
      </c>
      <c r="F62" s="7" t="s">
        <v>19</v>
      </c>
      <c r="G62" s="7" t="s">
        <v>20</v>
      </c>
      <c r="H62" s="7" t="s">
        <v>21</v>
      </c>
      <c r="I62" s="7" t="s">
        <v>22</v>
      </c>
      <c r="J62" s="7" t="s">
        <v>77</v>
      </c>
      <c r="K62" s="7" t="s">
        <v>24</v>
      </c>
      <c r="L62" s="7" t="s">
        <v>25</v>
      </c>
      <c r="M62" s="7" t="s">
        <v>26</v>
      </c>
      <c r="N62" s="7" t="s">
        <v>27</v>
      </c>
    </row>
    <row r="63" spans="1:15" ht="15.75" customHeight="1" x14ac:dyDescent="0.25">
      <c r="A63" s="8" t="s">
        <v>28</v>
      </c>
      <c r="B63" s="9">
        <f t="shared" ref="B63:B64" si="14">SUM(C63:N63)</f>
        <v>42875.080000000024</v>
      </c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>
        <f>B59</f>
        <v>42875.080000000024</v>
      </c>
      <c r="N63" s="10"/>
    </row>
    <row r="64" spans="1:15" ht="15.75" customHeight="1" x14ac:dyDescent="0.25">
      <c r="A64" s="8" t="s">
        <v>78</v>
      </c>
      <c r="B64" s="9">
        <f t="shared" si="14"/>
        <v>3029020.7399999998</v>
      </c>
      <c r="C64" s="12">
        <f t="shared" ref="C64:L64" si="15">C36</f>
        <v>856174.58</v>
      </c>
      <c r="D64" s="12">
        <f t="shared" si="15"/>
        <v>621029.40999999992</v>
      </c>
      <c r="E64" s="12">
        <f t="shared" si="15"/>
        <v>798181.63</v>
      </c>
      <c r="F64" s="12">
        <f t="shared" si="15"/>
        <v>71342.150000000009</v>
      </c>
      <c r="G64" s="10">
        <f t="shared" si="15"/>
        <v>0</v>
      </c>
      <c r="H64" s="10">
        <f t="shared" si="15"/>
        <v>0</v>
      </c>
      <c r="I64" s="10">
        <f t="shared" si="15"/>
        <v>217357.43</v>
      </c>
      <c r="J64" s="10">
        <f t="shared" si="15"/>
        <v>248877</v>
      </c>
      <c r="K64" s="10">
        <f t="shared" si="15"/>
        <v>54049.56</v>
      </c>
      <c r="L64" s="10">
        <f t="shared" si="15"/>
        <v>142133.22</v>
      </c>
      <c r="M64" s="10"/>
      <c r="N64" s="10">
        <f>N36</f>
        <v>19875.759999999998</v>
      </c>
    </row>
    <row r="65" spans="1:19" ht="15.75" customHeight="1" x14ac:dyDescent="0.25">
      <c r="A65" s="8"/>
      <c r="B65" s="9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1:19" ht="15.75" customHeight="1" x14ac:dyDescent="0.25">
      <c r="A66" s="1" t="s">
        <v>32</v>
      </c>
      <c r="B66" s="15">
        <f>SUM(C66:N66)</f>
        <v>3071895.82</v>
      </c>
      <c r="C66" s="15">
        <f t="shared" ref="C66:N66" si="16">SUM(C63:C64)</f>
        <v>856174.58</v>
      </c>
      <c r="D66" s="15">
        <f t="shared" si="16"/>
        <v>621029.40999999992</v>
      </c>
      <c r="E66" s="15">
        <f t="shared" si="16"/>
        <v>798181.63</v>
      </c>
      <c r="F66" s="15">
        <f t="shared" si="16"/>
        <v>71342.150000000009</v>
      </c>
      <c r="G66" s="15">
        <f t="shared" si="16"/>
        <v>0</v>
      </c>
      <c r="H66" s="15">
        <f t="shared" si="16"/>
        <v>0</v>
      </c>
      <c r="I66" s="15">
        <f t="shared" si="16"/>
        <v>217357.43</v>
      </c>
      <c r="J66" s="15">
        <f t="shared" si="16"/>
        <v>248877</v>
      </c>
      <c r="K66" s="15">
        <f t="shared" si="16"/>
        <v>54049.56</v>
      </c>
      <c r="L66" s="15">
        <f t="shared" si="16"/>
        <v>142133.22</v>
      </c>
      <c r="M66" s="15">
        <f t="shared" si="16"/>
        <v>42875.080000000024</v>
      </c>
      <c r="N66" s="15">
        <f t="shared" si="16"/>
        <v>19875.759999999998</v>
      </c>
    </row>
    <row r="67" spans="1:19" ht="15.75" customHeight="1" x14ac:dyDescent="0.25">
      <c r="A67" s="21"/>
      <c r="B67" s="21"/>
      <c r="C67" s="10"/>
      <c r="D67" s="10"/>
      <c r="E67" s="10"/>
      <c r="F67" s="10"/>
    </row>
    <row r="68" spans="1:19" ht="15.75" customHeight="1" x14ac:dyDescent="0.25">
      <c r="A68" s="21" t="str">
        <f>A1</f>
        <v xml:space="preserve">Month: January 2025                                                                                                                                </v>
      </c>
      <c r="B68" s="21"/>
      <c r="D68" s="10"/>
      <c r="E68" s="10"/>
      <c r="G68" s="10"/>
      <c r="H68" s="10"/>
      <c r="I68" s="10"/>
    </row>
    <row r="69" spans="1:19" ht="15.75" customHeight="1" x14ac:dyDescent="0.25">
      <c r="A69" s="10"/>
      <c r="B69" s="27" t="s">
        <v>79</v>
      </c>
      <c r="C69" s="27" t="s">
        <v>80</v>
      </c>
      <c r="D69" s="27" t="s">
        <v>81</v>
      </c>
      <c r="E69" s="27" t="s">
        <v>82</v>
      </c>
      <c r="F69" s="11" t="s">
        <v>83</v>
      </c>
      <c r="G69" s="10"/>
      <c r="H69" s="10"/>
      <c r="I69" s="10"/>
    </row>
    <row r="70" spans="1:19" ht="15.75" customHeight="1" x14ac:dyDescent="0.25">
      <c r="A70" s="30" t="s">
        <v>84</v>
      </c>
      <c r="B70" s="10"/>
      <c r="C70" s="10">
        <v>355754.85</v>
      </c>
      <c r="D70" s="10">
        <f>C105</f>
        <v>23750.600000000002</v>
      </c>
      <c r="E70" s="10">
        <f>D91</f>
        <v>0</v>
      </c>
      <c r="F70" s="10">
        <f t="shared" ref="F70:F71" si="17">(C70-D70+E70)-B70</f>
        <v>332004.25</v>
      </c>
      <c r="G70" s="10"/>
      <c r="H70" s="10"/>
      <c r="I70" s="10">
        <f>C70-D70</f>
        <v>332004.25</v>
      </c>
      <c r="O70" s="14"/>
    </row>
    <row r="71" spans="1:19" ht="15.75" customHeight="1" x14ac:dyDescent="0.25">
      <c r="A71" s="30" t="s">
        <v>85</v>
      </c>
      <c r="B71" s="10">
        <f>B37-M37</f>
        <v>3029020.74</v>
      </c>
      <c r="C71" s="10">
        <f>200357.9+2481353.53</f>
        <v>2681711.4299999997</v>
      </c>
      <c r="D71" s="10">
        <f>D87</f>
        <v>0</v>
      </c>
      <c r="E71" s="10">
        <f>E83</f>
        <v>0</v>
      </c>
      <c r="F71" s="10">
        <f t="shared" si="17"/>
        <v>-347309.31000000052</v>
      </c>
      <c r="H71" s="10"/>
      <c r="I71" s="10">
        <f>C71+E71</f>
        <v>2681711.4299999997</v>
      </c>
    </row>
    <row r="72" spans="1:19" ht="15.75" customHeight="1" x14ac:dyDescent="0.25">
      <c r="A72" s="30"/>
      <c r="B72" s="10"/>
      <c r="C72" s="10"/>
      <c r="D72" s="10"/>
      <c r="F72" s="31">
        <f>F70+F71</f>
        <v>-15305.060000000522</v>
      </c>
      <c r="G72" s="10"/>
      <c r="H72" s="10"/>
      <c r="I72" s="10">
        <f>I70+I71</f>
        <v>3013715.6799999997</v>
      </c>
      <c r="O72" s="14"/>
    </row>
    <row r="73" spans="1:19" ht="15.75" customHeight="1" x14ac:dyDescent="0.25">
      <c r="A73" s="30" t="s">
        <v>28</v>
      </c>
      <c r="B73" s="10">
        <f>B59</f>
        <v>42875.080000000024</v>
      </c>
      <c r="C73" s="10">
        <v>46441.48</v>
      </c>
      <c r="D73" s="10">
        <f>J88</f>
        <v>1793.2800000000002</v>
      </c>
      <c r="E73" s="10">
        <f>J94</f>
        <v>0</v>
      </c>
      <c r="F73" s="10">
        <f>(C73-D73+E73)-B73</f>
        <v>1773.1199999999808</v>
      </c>
      <c r="G73" s="10"/>
      <c r="H73" s="10"/>
      <c r="I73" s="10"/>
    </row>
    <row r="74" spans="1:19" ht="15.75" customHeight="1" x14ac:dyDescent="0.25">
      <c r="A74" s="8"/>
      <c r="B74" s="10"/>
      <c r="C74" s="10" t="s">
        <v>86</v>
      </c>
      <c r="D74" s="10"/>
      <c r="E74" s="10" t="s">
        <v>87</v>
      </c>
      <c r="F74" s="31">
        <f>F72+F73</f>
        <v>-13531.940000000541</v>
      </c>
      <c r="G74" s="10"/>
      <c r="H74" s="10"/>
      <c r="I74" s="10"/>
      <c r="J74" s="32"/>
      <c r="K74" s="32"/>
      <c r="L74" s="32"/>
      <c r="M74" s="32"/>
      <c r="N74" s="32"/>
    </row>
    <row r="75" spans="1:19" ht="15.75" customHeight="1" x14ac:dyDescent="0.25">
      <c r="A75" s="8"/>
      <c r="B75" s="10"/>
      <c r="C75" s="10"/>
      <c r="D75" s="10"/>
      <c r="E75" s="10"/>
      <c r="F75" s="10"/>
      <c r="G75" s="10"/>
      <c r="H75" s="10"/>
      <c r="I75" s="10"/>
      <c r="J75" s="32"/>
      <c r="K75" s="32"/>
      <c r="L75" s="32"/>
      <c r="M75" s="32"/>
      <c r="N75" s="32"/>
    </row>
    <row r="76" spans="1:19" ht="15.75" customHeight="1" x14ac:dyDescent="0.25">
      <c r="A76" s="27"/>
      <c r="B76" s="69" t="s">
        <v>88</v>
      </c>
      <c r="C76" s="70"/>
      <c r="D76" s="71" t="s">
        <v>89</v>
      </c>
      <c r="E76" s="72"/>
      <c r="F76" s="23" t="s">
        <v>90</v>
      </c>
      <c r="J76" s="33" t="s">
        <v>91</v>
      </c>
      <c r="K76" s="34"/>
      <c r="L76" s="34"/>
      <c r="M76" s="32"/>
      <c r="N76" s="32"/>
      <c r="O76" s="32"/>
      <c r="P76" s="32"/>
      <c r="Q76" s="32"/>
    </row>
    <row r="77" spans="1:19" ht="15.75" customHeight="1" x14ac:dyDescent="0.25">
      <c r="A77" s="35">
        <v>45575</v>
      </c>
      <c r="B77" s="23">
        <v>18568</v>
      </c>
      <c r="C77" s="14">
        <v>86</v>
      </c>
      <c r="D77" s="36" t="s">
        <v>92</v>
      </c>
      <c r="E77" s="37">
        <v>0</v>
      </c>
      <c r="H77" s="35">
        <v>45561</v>
      </c>
      <c r="I77" s="34">
        <v>8133</v>
      </c>
      <c r="J77" s="14">
        <v>232.95</v>
      </c>
      <c r="L77" s="8"/>
      <c r="S77" s="14"/>
    </row>
    <row r="78" spans="1:19" ht="15.75" customHeight="1" x14ac:dyDescent="0.25">
      <c r="A78" s="35">
        <v>45575</v>
      </c>
      <c r="B78" s="23">
        <v>18573</v>
      </c>
      <c r="C78" s="14">
        <v>143.28</v>
      </c>
      <c r="D78" s="38" t="s">
        <v>93</v>
      </c>
      <c r="E78" s="39">
        <v>0</v>
      </c>
      <c r="F78" s="22"/>
      <c r="H78" s="35">
        <v>45561</v>
      </c>
      <c r="I78" s="34">
        <v>8147</v>
      </c>
      <c r="J78" s="14">
        <v>462.92</v>
      </c>
      <c r="L78" s="8"/>
      <c r="S78" s="14"/>
    </row>
    <row r="79" spans="1:19" ht="15.75" customHeight="1" x14ac:dyDescent="0.25">
      <c r="A79" s="35">
        <v>45657</v>
      </c>
      <c r="B79" s="23">
        <v>18714</v>
      </c>
      <c r="C79" s="14">
        <v>71.86</v>
      </c>
      <c r="D79" s="38" t="s">
        <v>94</v>
      </c>
      <c r="E79" s="39">
        <v>0</v>
      </c>
      <c r="F79" s="22"/>
      <c r="H79" s="35">
        <v>45673</v>
      </c>
      <c r="I79" s="34">
        <v>8264</v>
      </c>
      <c r="J79" s="14">
        <v>627.28</v>
      </c>
      <c r="K79" s="8"/>
      <c r="L79" s="8"/>
      <c r="S79" s="14"/>
    </row>
    <row r="80" spans="1:19" ht="15.75" customHeight="1" x14ac:dyDescent="0.25">
      <c r="A80" s="35">
        <v>45657</v>
      </c>
      <c r="B80" s="23">
        <v>18728</v>
      </c>
      <c r="C80" s="14">
        <v>800</v>
      </c>
      <c r="D80" s="38" t="s">
        <v>95</v>
      </c>
      <c r="E80" s="39">
        <v>0</v>
      </c>
      <c r="F80" s="22"/>
      <c r="H80" s="35">
        <v>45686</v>
      </c>
      <c r="I80" s="34">
        <v>8286</v>
      </c>
      <c r="J80" s="14">
        <v>227.13</v>
      </c>
      <c r="K80" s="8"/>
      <c r="L80" s="8"/>
      <c r="S80" s="14"/>
    </row>
    <row r="81" spans="1:19" ht="15.75" customHeight="1" x14ac:dyDescent="0.25">
      <c r="A81" s="35">
        <v>45672</v>
      </c>
      <c r="B81" s="23">
        <v>18733</v>
      </c>
      <c r="C81" s="14">
        <v>43</v>
      </c>
      <c r="D81" s="38" t="s">
        <v>96</v>
      </c>
      <c r="E81" s="39">
        <v>0</v>
      </c>
      <c r="H81" s="35">
        <v>45686</v>
      </c>
      <c r="I81" s="34">
        <v>8287</v>
      </c>
      <c r="J81" s="14">
        <v>243</v>
      </c>
      <c r="K81" s="8"/>
      <c r="L81" s="8"/>
      <c r="S81" s="14"/>
    </row>
    <row r="82" spans="1:19" ht="15.75" customHeight="1" x14ac:dyDescent="0.25">
      <c r="A82" s="35">
        <v>45672</v>
      </c>
      <c r="B82" s="23">
        <v>18735</v>
      </c>
      <c r="C82" s="14">
        <v>43</v>
      </c>
      <c r="D82" s="38" t="s">
        <v>97</v>
      </c>
      <c r="E82" s="39">
        <v>0</v>
      </c>
      <c r="F82" s="73" t="s">
        <v>98</v>
      </c>
      <c r="G82" s="72"/>
      <c r="H82" s="35"/>
      <c r="I82" s="23"/>
      <c r="J82" s="14"/>
      <c r="K82" s="8"/>
      <c r="L82" s="8"/>
      <c r="S82" s="14"/>
    </row>
    <row r="83" spans="1:19" ht="15.75" customHeight="1" x14ac:dyDescent="0.25">
      <c r="A83" s="35">
        <v>45672</v>
      </c>
      <c r="B83" s="23">
        <v>18737</v>
      </c>
      <c r="C83" s="14">
        <v>150</v>
      </c>
      <c r="D83" s="40"/>
      <c r="E83" s="41">
        <f>E77+E78+E79+E80+E81+E82</f>
        <v>0</v>
      </c>
      <c r="F83" s="42"/>
      <c r="G83" s="43"/>
      <c r="H83" s="43"/>
      <c r="I83" s="43"/>
      <c r="J83" s="10"/>
      <c r="K83" s="8"/>
      <c r="L83" s="8"/>
      <c r="S83" s="14"/>
    </row>
    <row r="84" spans="1:19" ht="15.75" customHeight="1" x14ac:dyDescent="0.25">
      <c r="A84" s="35">
        <v>45672</v>
      </c>
      <c r="B84" s="23">
        <v>18738</v>
      </c>
      <c r="C84" s="14">
        <v>43</v>
      </c>
      <c r="D84" s="44" t="s">
        <v>99</v>
      </c>
      <c r="F84" s="23" t="s">
        <v>100</v>
      </c>
      <c r="G84" s="27"/>
      <c r="H84" s="27"/>
      <c r="I84" s="27"/>
      <c r="J84" s="10"/>
      <c r="K84" s="8"/>
      <c r="L84" s="8"/>
      <c r="S84" s="14"/>
    </row>
    <row r="85" spans="1:19" ht="15.75" customHeight="1" x14ac:dyDescent="0.25">
      <c r="A85" s="35">
        <v>45672</v>
      </c>
      <c r="B85" s="23">
        <v>18741</v>
      </c>
      <c r="C85" s="14">
        <v>86</v>
      </c>
      <c r="D85" s="45"/>
      <c r="F85" s="23" t="s">
        <v>101</v>
      </c>
      <c r="G85" s="27"/>
      <c r="H85" s="27"/>
      <c r="I85" s="27"/>
      <c r="J85" s="10"/>
      <c r="K85" s="8"/>
      <c r="L85" s="8"/>
      <c r="S85" s="14"/>
    </row>
    <row r="86" spans="1:19" ht="15.75" customHeight="1" x14ac:dyDescent="0.25">
      <c r="A86" s="35">
        <v>45672</v>
      </c>
      <c r="B86" s="23">
        <v>18743</v>
      </c>
      <c r="C86" s="14">
        <v>129</v>
      </c>
      <c r="D86" s="14"/>
      <c r="F86" s="23" t="s">
        <v>102</v>
      </c>
      <c r="G86" s="27"/>
      <c r="H86" s="27"/>
      <c r="I86" s="27"/>
      <c r="J86" s="10"/>
      <c r="K86" s="8"/>
      <c r="L86" s="8"/>
      <c r="S86" s="14"/>
    </row>
    <row r="87" spans="1:19" ht="15.75" customHeight="1" x14ac:dyDescent="0.25">
      <c r="A87" s="35">
        <v>45672</v>
      </c>
      <c r="B87" s="23">
        <v>18753</v>
      </c>
      <c r="C87" s="14">
        <v>390</v>
      </c>
      <c r="D87" s="46">
        <f>SUM(D85:D86)</f>
        <v>0</v>
      </c>
      <c r="F87" s="23" t="s">
        <v>103</v>
      </c>
      <c r="G87" s="27"/>
      <c r="H87" s="27"/>
      <c r="I87" s="27"/>
      <c r="J87" s="10"/>
      <c r="K87" s="8"/>
      <c r="L87" s="8"/>
      <c r="S87" s="14"/>
    </row>
    <row r="88" spans="1:19" ht="15.75" customHeight="1" x14ac:dyDescent="0.25">
      <c r="A88" s="35">
        <v>45672</v>
      </c>
      <c r="B88" s="23">
        <v>18759</v>
      </c>
      <c r="C88" s="14">
        <v>995.56</v>
      </c>
      <c r="F88" s="23" t="s">
        <v>104</v>
      </c>
      <c r="G88" s="27"/>
      <c r="H88" s="27"/>
      <c r="I88" s="27"/>
      <c r="J88" s="47">
        <f>SUM(J77:J87)</f>
        <v>1793.2800000000002</v>
      </c>
      <c r="K88" s="8"/>
      <c r="L88" s="8"/>
      <c r="S88" s="14"/>
    </row>
    <row r="89" spans="1:19" ht="15.75" customHeight="1" x14ac:dyDescent="0.25">
      <c r="A89" s="35">
        <v>45672</v>
      </c>
      <c r="B89" s="23">
        <v>18761</v>
      </c>
      <c r="C89" s="14">
        <v>460</v>
      </c>
      <c r="F89" s="23" t="s">
        <v>105</v>
      </c>
      <c r="G89" s="27"/>
      <c r="H89" s="27"/>
      <c r="I89" s="27"/>
      <c r="J89" s="14"/>
      <c r="K89" s="8"/>
      <c r="L89" s="8"/>
      <c r="S89" s="14"/>
    </row>
    <row r="90" spans="1:19" ht="15.75" customHeight="1" x14ac:dyDescent="0.25">
      <c r="A90" s="35">
        <v>45672</v>
      </c>
      <c r="B90" s="23">
        <v>18765</v>
      </c>
      <c r="C90" s="14">
        <v>300</v>
      </c>
      <c r="D90" s="33" t="s">
        <v>106</v>
      </c>
      <c r="E90" s="32"/>
      <c r="F90" s="23" t="s">
        <v>107</v>
      </c>
      <c r="G90" s="27"/>
      <c r="H90" s="27"/>
      <c r="I90" s="27"/>
      <c r="J90" s="33" t="s">
        <v>108</v>
      </c>
      <c r="K90" s="8"/>
      <c r="L90" s="8"/>
      <c r="S90" s="14"/>
    </row>
    <row r="91" spans="1:19" ht="15.75" customHeight="1" x14ac:dyDescent="0.25">
      <c r="A91" s="35">
        <v>45672</v>
      </c>
      <c r="B91" s="23">
        <v>18767</v>
      </c>
      <c r="C91" s="14">
        <v>6170</v>
      </c>
      <c r="D91" s="45"/>
      <c r="E91" s="32"/>
      <c r="F91" s="14"/>
      <c r="J91" s="48"/>
      <c r="K91" s="8"/>
      <c r="L91" s="8"/>
      <c r="S91" s="14"/>
    </row>
    <row r="92" spans="1:19" ht="15" customHeight="1" x14ac:dyDescent="0.25">
      <c r="A92" s="35">
        <v>45672</v>
      </c>
      <c r="B92" s="23">
        <v>18771</v>
      </c>
      <c r="C92" s="14">
        <v>184.68</v>
      </c>
      <c r="D92" s="14"/>
      <c r="E92" s="32"/>
      <c r="F92" s="14"/>
      <c r="G92" s="14"/>
      <c r="H92" s="14"/>
      <c r="I92" s="14"/>
      <c r="J92" s="48"/>
      <c r="K92" s="8"/>
      <c r="L92" s="8"/>
      <c r="S92" s="14"/>
    </row>
    <row r="93" spans="1:19" ht="15" customHeight="1" x14ac:dyDescent="0.25">
      <c r="A93" s="35">
        <v>45672</v>
      </c>
      <c r="B93" s="23">
        <v>18772</v>
      </c>
      <c r="C93" s="14">
        <v>218.06</v>
      </c>
      <c r="D93" s="14"/>
      <c r="E93" s="32"/>
      <c r="F93" s="14"/>
      <c r="G93" s="14"/>
      <c r="H93" s="14"/>
      <c r="I93" s="14"/>
      <c r="J93" s="48"/>
      <c r="K93" s="8"/>
      <c r="L93" s="8"/>
      <c r="S93" s="14"/>
    </row>
    <row r="94" spans="1:19" ht="15" customHeight="1" x14ac:dyDescent="0.25">
      <c r="A94" s="35">
        <v>45672</v>
      </c>
      <c r="B94" s="23">
        <v>18774</v>
      </c>
      <c r="C94" s="14">
        <v>250</v>
      </c>
      <c r="D94" s="14"/>
      <c r="E94" s="32"/>
      <c r="F94" s="14"/>
      <c r="G94" s="14"/>
      <c r="H94" s="49"/>
      <c r="I94" s="8"/>
      <c r="J94" s="50">
        <f>SUM(J91:J93)</f>
        <v>0</v>
      </c>
      <c r="Q94" s="14"/>
    </row>
    <row r="95" spans="1:19" ht="15" customHeight="1" x14ac:dyDescent="0.25">
      <c r="A95" s="35">
        <v>45672</v>
      </c>
      <c r="B95" s="23">
        <v>18777</v>
      </c>
      <c r="C95" s="14">
        <v>549</v>
      </c>
      <c r="D95" s="14"/>
      <c r="E95" s="32"/>
      <c r="F95" s="14"/>
      <c r="G95" s="14"/>
      <c r="H95" s="49"/>
      <c r="I95" s="8"/>
      <c r="J95" s="8"/>
      <c r="Q95" s="14"/>
    </row>
    <row r="96" spans="1:19" ht="15" customHeight="1" x14ac:dyDescent="0.25">
      <c r="A96" s="35">
        <v>45672</v>
      </c>
      <c r="B96" s="23">
        <v>18783</v>
      </c>
      <c r="C96" s="14">
        <v>1106.4000000000001</v>
      </c>
      <c r="D96" s="14"/>
      <c r="E96" s="32"/>
      <c r="F96" s="14"/>
      <c r="G96" s="14"/>
      <c r="H96" s="49"/>
      <c r="I96" s="8"/>
      <c r="J96" s="8"/>
      <c r="Q96" s="14"/>
    </row>
    <row r="97" spans="1:17" ht="15" customHeight="1" x14ac:dyDescent="0.25">
      <c r="A97" s="35">
        <v>45688</v>
      </c>
      <c r="B97" s="23">
        <v>18785</v>
      </c>
      <c r="C97" s="14">
        <v>10047.290000000001</v>
      </c>
      <c r="D97" s="14"/>
      <c r="E97" s="32"/>
      <c r="F97" s="14"/>
      <c r="G97" s="14"/>
      <c r="H97" s="49"/>
      <c r="I97" s="8"/>
      <c r="J97" s="8"/>
      <c r="Q97" s="14"/>
    </row>
    <row r="98" spans="1:17" ht="15" customHeight="1" x14ac:dyDescent="0.25">
      <c r="A98" s="35">
        <v>45688</v>
      </c>
      <c r="B98" s="23">
        <v>18786</v>
      </c>
      <c r="C98" s="14">
        <v>1484.47</v>
      </c>
      <c r="D98" s="14"/>
      <c r="E98" s="32"/>
      <c r="F98" s="14"/>
      <c r="G98" s="14"/>
      <c r="H98" s="49"/>
      <c r="I98" s="8"/>
      <c r="J98" s="8"/>
      <c r="Q98" s="14"/>
    </row>
    <row r="99" spans="1:17" ht="15" customHeight="1" x14ac:dyDescent="0.25">
      <c r="A99" s="35"/>
      <c r="B99" s="23"/>
      <c r="C99" s="14"/>
      <c r="D99" s="14"/>
      <c r="E99" s="32"/>
      <c r="F99" s="14"/>
      <c r="G99" s="14"/>
      <c r="H99" s="49"/>
      <c r="I99" s="8"/>
      <c r="J99" s="8"/>
      <c r="Q99" s="14"/>
    </row>
    <row r="100" spans="1:17" ht="15" customHeight="1" x14ac:dyDescent="0.25">
      <c r="A100" s="35"/>
      <c r="B100" s="23"/>
      <c r="C100" s="14"/>
      <c r="D100" s="14"/>
      <c r="E100" s="32"/>
      <c r="F100" s="14"/>
      <c r="G100" s="14"/>
      <c r="H100" s="49"/>
      <c r="I100" s="8"/>
      <c r="J100" s="8"/>
      <c r="Q100" s="14"/>
    </row>
    <row r="101" spans="1:17" ht="15" customHeight="1" x14ac:dyDescent="0.25">
      <c r="A101" s="35"/>
      <c r="B101" s="23"/>
      <c r="C101" s="14"/>
      <c r="D101" s="14"/>
      <c r="E101" s="32"/>
      <c r="F101" s="14"/>
      <c r="G101" s="14"/>
      <c r="H101" s="49"/>
      <c r="I101" s="8"/>
      <c r="J101" s="8"/>
      <c r="Q101" s="14"/>
    </row>
    <row r="102" spans="1:17" ht="15" customHeight="1" x14ac:dyDescent="0.25">
      <c r="A102" s="35"/>
      <c r="B102" s="23"/>
      <c r="C102" s="14"/>
      <c r="D102" s="14"/>
      <c r="E102" s="32"/>
      <c r="F102" s="14"/>
      <c r="G102" s="14"/>
      <c r="H102" s="49"/>
      <c r="I102" s="8"/>
      <c r="J102" s="8"/>
      <c r="Q102" s="14"/>
    </row>
    <row r="103" spans="1:17" ht="15" customHeight="1" x14ac:dyDescent="0.25">
      <c r="A103" s="35"/>
      <c r="B103" s="23"/>
      <c r="C103" s="14"/>
      <c r="D103" s="14"/>
      <c r="E103" s="32"/>
      <c r="F103" s="14"/>
      <c r="G103" s="14"/>
      <c r="H103" s="49"/>
      <c r="I103" s="8"/>
      <c r="J103" s="8"/>
      <c r="Q103" s="14"/>
    </row>
    <row r="104" spans="1:17" ht="15" customHeight="1" x14ac:dyDescent="0.25">
      <c r="A104" s="35"/>
      <c r="B104" s="23"/>
      <c r="C104" s="14"/>
      <c r="D104" s="14"/>
      <c r="E104" s="32"/>
      <c r="F104" s="14"/>
      <c r="G104" s="14"/>
      <c r="H104" s="49"/>
      <c r="I104" s="8"/>
      <c r="J104" s="8"/>
      <c r="Q104" s="14"/>
    </row>
    <row r="105" spans="1:17" ht="15.75" customHeight="1" x14ac:dyDescent="0.25">
      <c r="C105" s="46">
        <f>SUM(C77:C104)</f>
        <v>23750.600000000002</v>
      </c>
      <c r="D105" s="14"/>
      <c r="E105" s="32"/>
      <c r="F105" s="14"/>
      <c r="G105" s="14"/>
      <c r="H105" s="49"/>
      <c r="I105" s="8"/>
      <c r="J105" s="8"/>
      <c r="Q105" s="14"/>
    </row>
    <row r="106" spans="1:17" ht="15.75" customHeight="1" x14ac:dyDescent="0.25">
      <c r="C106" s="14"/>
      <c r="D106" s="32"/>
      <c r="E106" s="14"/>
      <c r="F106" s="14"/>
      <c r="G106" s="49"/>
      <c r="H106" s="8"/>
      <c r="I106" s="8"/>
      <c r="P106" s="14"/>
    </row>
    <row r="107" spans="1:17" ht="15.75" customHeight="1" x14ac:dyDescent="0.25">
      <c r="C107" s="14"/>
      <c r="D107" s="32"/>
      <c r="E107" s="14"/>
      <c r="F107" s="14"/>
      <c r="G107" s="49"/>
      <c r="H107" s="8"/>
      <c r="I107" s="8"/>
      <c r="P107" s="14"/>
    </row>
    <row r="108" spans="1:17" ht="15.75" customHeight="1" x14ac:dyDescent="0.25">
      <c r="C108" s="14"/>
      <c r="D108" s="32"/>
      <c r="E108" s="14"/>
      <c r="F108" s="14"/>
      <c r="G108" s="49"/>
      <c r="H108" s="8"/>
      <c r="I108" s="8"/>
      <c r="P108" s="14"/>
    </row>
    <row r="109" spans="1:17" ht="15.75" customHeight="1" x14ac:dyDescent="0.25">
      <c r="C109" s="14"/>
      <c r="D109" s="32"/>
      <c r="E109" s="14"/>
      <c r="F109" s="14"/>
      <c r="G109" s="49"/>
      <c r="H109" s="8"/>
      <c r="I109" s="8"/>
      <c r="P109" s="14"/>
    </row>
    <row r="110" spans="1:17" ht="15.75" customHeight="1" x14ac:dyDescent="0.25">
      <c r="C110" s="14"/>
      <c r="D110" s="32"/>
      <c r="E110" s="14"/>
      <c r="F110" s="14"/>
      <c r="G110" s="49"/>
      <c r="H110" s="8"/>
      <c r="I110" s="8"/>
      <c r="P110" s="14"/>
    </row>
    <row r="111" spans="1:17" ht="15.75" customHeight="1" x14ac:dyDescent="0.25">
      <c r="C111" s="14"/>
      <c r="D111" s="32"/>
      <c r="E111" s="14"/>
      <c r="F111" s="14"/>
      <c r="G111" s="49"/>
      <c r="H111" s="8"/>
      <c r="I111" s="8"/>
      <c r="P111" s="14"/>
    </row>
    <row r="112" spans="1:17" ht="15.75" customHeight="1" x14ac:dyDescent="0.25">
      <c r="C112" s="14"/>
      <c r="D112" s="32"/>
      <c r="E112" s="14"/>
      <c r="F112" s="14"/>
      <c r="G112" s="49"/>
      <c r="H112" s="8"/>
      <c r="I112" s="8"/>
      <c r="P112" s="14"/>
    </row>
    <row r="113" spans="2:16" ht="15.75" customHeight="1" x14ac:dyDescent="0.25">
      <c r="C113" s="14"/>
      <c r="D113" s="32"/>
      <c r="E113" s="14"/>
      <c r="F113" s="14"/>
      <c r="G113" s="49"/>
      <c r="H113" s="8"/>
      <c r="I113" s="8"/>
      <c r="P113" s="14"/>
    </row>
    <row r="114" spans="2:16" ht="15.75" customHeight="1" x14ac:dyDescent="0.25">
      <c r="B114" s="22"/>
      <c r="C114" s="14"/>
      <c r="D114" s="32"/>
      <c r="E114" s="14"/>
      <c r="F114" s="14"/>
      <c r="G114" s="49"/>
      <c r="H114" s="8"/>
      <c r="I114" s="8"/>
      <c r="P114" s="14"/>
    </row>
    <row r="115" spans="2:16" ht="15.75" customHeight="1" x14ac:dyDescent="0.25">
      <c r="C115" s="14"/>
      <c r="D115" s="32"/>
      <c r="E115" s="14"/>
      <c r="F115" s="14"/>
      <c r="G115" s="49"/>
      <c r="H115" s="8"/>
      <c r="I115" s="8"/>
      <c r="P115" s="14"/>
    </row>
    <row r="116" spans="2:16" ht="15.75" customHeight="1" x14ac:dyDescent="0.25">
      <c r="C116" s="14"/>
      <c r="D116" s="32"/>
      <c r="E116" s="14"/>
      <c r="F116" s="14"/>
      <c r="G116" s="49"/>
      <c r="H116" s="8"/>
      <c r="I116" s="8"/>
      <c r="P116" s="14"/>
    </row>
    <row r="117" spans="2:16" ht="15.75" customHeight="1" x14ac:dyDescent="0.25">
      <c r="C117" s="14"/>
      <c r="D117" s="32"/>
      <c r="E117" s="14"/>
      <c r="F117" s="14"/>
      <c r="G117" s="49"/>
      <c r="H117" s="8"/>
      <c r="I117" s="8"/>
      <c r="P117" s="14"/>
    </row>
    <row r="118" spans="2:16" ht="15.75" customHeight="1" x14ac:dyDescent="0.25">
      <c r="B118" s="14"/>
      <c r="C118" s="14"/>
      <c r="D118" s="32"/>
      <c r="E118" s="14"/>
      <c r="F118" s="14"/>
      <c r="G118" s="49"/>
      <c r="H118" s="8"/>
      <c r="I118" s="8"/>
      <c r="P118" s="14"/>
    </row>
    <row r="119" spans="2:16" ht="15.75" customHeight="1" x14ac:dyDescent="0.25">
      <c r="B119" s="14"/>
      <c r="C119" s="14"/>
      <c r="D119" s="32"/>
      <c r="E119" s="14"/>
      <c r="F119" s="14"/>
      <c r="G119" s="49"/>
      <c r="H119" s="8"/>
      <c r="I119" s="8"/>
      <c r="P119" s="14"/>
    </row>
    <row r="120" spans="2:16" ht="15.75" customHeight="1" x14ac:dyDescent="0.25">
      <c r="B120" s="14"/>
      <c r="C120" s="14"/>
      <c r="D120" s="32"/>
      <c r="E120" s="14"/>
      <c r="F120" s="14"/>
      <c r="G120" s="49"/>
      <c r="H120" s="8"/>
      <c r="I120" s="8"/>
      <c r="P120" s="14"/>
    </row>
    <row r="121" spans="2:16" ht="15.75" customHeight="1" x14ac:dyDescent="0.25">
      <c r="B121" s="14"/>
      <c r="C121" s="22"/>
      <c r="H121" s="8"/>
      <c r="I121" s="8"/>
    </row>
    <row r="122" spans="2:16" ht="15.75" customHeight="1" x14ac:dyDescent="0.25">
      <c r="B122" s="14"/>
      <c r="E122" s="14"/>
    </row>
    <row r="123" spans="2:16" ht="15.75" customHeight="1" x14ac:dyDescent="0.25">
      <c r="B123" s="14"/>
    </row>
    <row r="124" spans="2:16" ht="15.75" customHeight="1" x14ac:dyDescent="0.25">
      <c r="B124" s="14"/>
      <c r="E124" s="14"/>
    </row>
    <row r="125" spans="2:16" ht="15.75" customHeight="1" x14ac:dyDescent="0.25">
      <c r="B125" s="14"/>
    </row>
    <row r="126" spans="2:16" ht="15.75" customHeight="1" x14ac:dyDescent="0.25">
      <c r="B126" s="14"/>
    </row>
    <row r="127" spans="2:16" ht="15.75" customHeight="1" x14ac:dyDescent="0.25">
      <c r="B127" s="14"/>
      <c r="C127" s="22"/>
    </row>
    <row r="128" spans="2:16" ht="15.75" customHeight="1" x14ac:dyDescent="0.25">
      <c r="B128" s="14"/>
    </row>
    <row r="129" spans="1:2" ht="15.75" customHeight="1" x14ac:dyDescent="0.25">
      <c r="B129" s="14"/>
    </row>
    <row r="130" spans="1:2" ht="15.75" customHeight="1" x14ac:dyDescent="0.25">
      <c r="B130" s="14"/>
    </row>
    <row r="131" spans="1:2" ht="15.75" customHeight="1" x14ac:dyDescent="0.25">
      <c r="B131" s="14"/>
    </row>
    <row r="132" spans="1:2" ht="15.75" customHeight="1" x14ac:dyDescent="0.25">
      <c r="A132" s="22"/>
      <c r="B132" s="14"/>
    </row>
    <row r="133" spans="1:2" ht="15.75" customHeight="1" x14ac:dyDescent="0.25">
      <c r="A133" s="22"/>
      <c r="B133" s="14"/>
    </row>
    <row r="134" spans="1:2" ht="15.75" customHeight="1" x14ac:dyDescent="0.25">
      <c r="A134" s="51"/>
      <c r="B134" s="14"/>
    </row>
    <row r="135" spans="1:2" ht="15.75" customHeight="1" x14ac:dyDescent="0.25">
      <c r="A135" s="51"/>
      <c r="B135" s="14"/>
    </row>
    <row r="136" spans="1:2" ht="15.75" customHeight="1" x14ac:dyDescent="0.25">
      <c r="A136" s="51"/>
      <c r="B136" s="14"/>
    </row>
    <row r="137" spans="1:2" ht="15.75" customHeight="1" x14ac:dyDescent="0.25">
      <c r="A137" s="51"/>
      <c r="B137" s="14"/>
    </row>
    <row r="138" spans="1:2" ht="15.75" customHeight="1" x14ac:dyDescent="0.25">
      <c r="A138" s="51"/>
      <c r="B138" s="14"/>
    </row>
    <row r="139" spans="1:2" ht="15.75" customHeight="1" x14ac:dyDescent="0.25">
      <c r="A139" s="51"/>
      <c r="B139" s="14"/>
    </row>
    <row r="140" spans="1:2" ht="15.75" customHeight="1" x14ac:dyDescent="0.25">
      <c r="A140" s="51"/>
      <c r="B140" s="14"/>
    </row>
    <row r="141" spans="1:2" ht="15.75" customHeight="1" x14ac:dyDescent="0.25">
      <c r="A141" s="51"/>
      <c r="B141" s="14"/>
    </row>
    <row r="142" spans="1:2" ht="15.75" customHeight="1" x14ac:dyDescent="0.25">
      <c r="A142" s="51"/>
      <c r="B142" s="14"/>
    </row>
    <row r="143" spans="1:2" ht="15.75" customHeight="1" x14ac:dyDescent="0.25">
      <c r="A143" s="51"/>
      <c r="B143" s="14"/>
    </row>
    <row r="144" spans="1:2" ht="15.75" customHeight="1" x14ac:dyDescent="0.25">
      <c r="A144" s="51"/>
      <c r="B144" s="14"/>
    </row>
    <row r="145" spans="1:2" ht="15.75" customHeight="1" x14ac:dyDescent="0.25">
      <c r="A145" s="51"/>
      <c r="B145" s="14"/>
    </row>
    <row r="146" spans="1:2" ht="15.75" customHeight="1" x14ac:dyDescent="0.25">
      <c r="A146" s="51"/>
    </row>
    <row r="147" spans="1:2" ht="15.75" customHeight="1" x14ac:dyDescent="0.25">
      <c r="A147" s="51"/>
      <c r="B147" s="14"/>
    </row>
    <row r="148" spans="1:2" ht="15.75" customHeight="1" x14ac:dyDescent="0.25">
      <c r="A148" s="51"/>
    </row>
    <row r="149" spans="1:2" ht="15.75" customHeight="1" x14ac:dyDescent="0.25">
      <c r="A149" s="51"/>
    </row>
    <row r="150" spans="1:2" ht="15.75" customHeight="1" x14ac:dyDescent="0.25"/>
    <row r="151" spans="1:2" ht="15.75" customHeight="1" x14ac:dyDescent="0.25"/>
    <row r="152" spans="1:2" ht="15.75" customHeight="1" x14ac:dyDescent="0.25"/>
    <row r="153" spans="1:2" ht="15.75" customHeight="1" x14ac:dyDescent="0.25"/>
    <row r="154" spans="1:2" ht="15.75" customHeight="1" x14ac:dyDescent="0.25"/>
    <row r="155" spans="1:2" ht="15.75" customHeight="1" x14ac:dyDescent="0.25"/>
    <row r="156" spans="1:2" ht="15.75" customHeight="1" x14ac:dyDescent="0.25"/>
    <row r="157" spans="1:2" ht="15.75" customHeight="1" x14ac:dyDescent="0.25"/>
    <row r="158" spans="1:2" ht="15.75" customHeight="1" x14ac:dyDescent="0.25"/>
    <row r="159" spans="1:2" ht="15.75" customHeight="1" x14ac:dyDescent="0.25"/>
    <row r="160" spans="1:2" ht="15.75" customHeight="1" x14ac:dyDescent="0.25"/>
    <row r="161" spans="1:1" ht="15.75" customHeight="1" x14ac:dyDescent="0.25"/>
    <row r="162" spans="1:1" ht="15.75" customHeight="1" x14ac:dyDescent="0.25"/>
    <row r="163" spans="1:1" ht="15.75" customHeight="1" x14ac:dyDescent="0.25">
      <c r="A163" s="51"/>
    </row>
    <row r="164" spans="1:1" ht="15.75" customHeight="1" x14ac:dyDescent="0.25"/>
    <row r="165" spans="1:1" ht="15.75" customHeight="1" x14ac:dyDescent="0.25"/>
    <row r="166" spans="1:1" ht="15.75" customHeight="1" x14ac:dyDescent="0.25"/>
    <row r="167" spans="1:1" ht="15.75" customHeight="1" x14ac:dyDescent="0.25"/>
    <row r="168" spans="1:1" ht="15.75" customHeight="1" x14ac:dyDescent="0.25"/>
    <row r="169" spans="1:1" ht="15.75" customHeight="1" x14ac:dyDescent="0.25"/>
    <row r="170" spans="1:1" ht="15.75" customHeight="1" x14ac:dyDescent="0.25"/>
    <row r="171" spans="1:1" ht="15.75" customHeight="1" x14ac:dyDescent="0.25"/>
    <row r="172" spans="1:1" ht="15.75" customHeight="1" x14ac:dyDescent="0.25"/>
    <row r="173" spans="1:1" ht="15.75" customHeight="1" x14ac:dyDescent="0.25"/>
    <row r="174" spans="1:1" ht="15.75" customHeight="1" x14ac:dyDescent="0.25"/>
    <row r="175" spans="1:1" ht="15.75" customHeight="1" x14ac:dyDescent="0.25"/>
    <row r="176" spans="1:1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</sheetData>
  <mergeCells count="4">
    <mergeCell ref="A11:A12"/>
    <mergeCell ref="B76:C76"/>
    <mergeCell ref="D76:E76"/>
    <mergeCell ref="F82:G82"/>
  </mergeCells>
  <printOptions gridLines="1"/>
  <pageMargins left="0.7" right="0.7" top="0.75" bottom="0.75" header="0" footer="0"/>
  <pageSetup orientation="landscape"/>
  <rowBreaks count="3" manualBreakCount="3">
    <brk id="38" man="1"/>
    <brk id="107" man="1"/>
    <brk id="6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1000"/>
  <sheetViews>
    <sheetView tabSelected="1" zoomScaleNormal="100" workbookViewId="0"/>
  </sheetViews>
  <sheetFormatPr defaultColWidth="14.42578125" defaultRowHeight="15" customHeight="1" x14ac:dyDescent="0.25"/>
  <cols>
    <col min="1" max="1" width="16.7109375" customWidth="1"/>
    <col min="3" max="3" width="16" customWidth="1"/>
    <col min="4" max="4" width="16.140625" customWidth="1"/>
    <col min="5" max="5" width="16.7109375" customWidth="1"/>
    <col min="6" max="6" width="13.28515625" customWidth="1"/>
    <col min="7" max="7" width="14.5703125" customWidth="1"/>
    <col min="8" max="8" width="11" customWidth="1"/>
    <col min="9" max="14" width="14.140625" customWidth="1"/>
    <col min="15" max="15" width="12.85546875" customWidth="1"/>
    <col min="16" max="16" width="12.5703125" customWidth="1"/>
    <col min="17" max="17" width="8.7109375" customWidth="1"/>
    <col min="18" max="18" width="13.42578125" customWidth="1"/>
    <col min="19" max="31" width="8.7109375" customWidth="1"/>
  </cols>
  <sheetData>
    <row r="1" spans="1:31" x14ac:dyDescent="0.25">
      <c r="A1" s="1" t="s">
        <v>175</v>
      </c>
      <c r="B1" s="1"/>
      <c r="C1" s="1"/>
      <c r="D1" s="1"/>
      <c r="E1" s="1"/>
      <c r="F1" s="1"/>
      <c r="G1" s="1"/>
    </row>
    <row r="2" spans="1:31" x14ac:dyDescent="0.2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ht="26.25" x14ac:dyDescent="0.25">
      <c r="A3" s="6" t="s">
        <v>14</v>
      </c>
      <c r="B3" s="6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G3" s="7" t="s">
        <v>117</v>
      </c>
      <c r="H3" s="7" t="s">
        <v>21</v>
      </c>
      <c r="I3" s="7" t="s">
        <v>22</v>
      </c>
      <c r="J3" s="7" t="s">
        <v>23</v>
      </c>
      <c r="K3" s="7" t="s">
        <v>24</v>
      </c>
      <c r="L3" s="7" t="s">
        <v>25</v>
      </c>
      <c r="M3" s="7" t="s">
        <v>26</v>
      </c>
      <c r="N3" s="7" t="s">
        <v>27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x14ac:dyDescent="0.25">
      <c r="A4" s="8" t="s">
        <v>28</v>
      </c>
      <c r="B4" s="9">
        <v>44448.909999999982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>
        <v>44448.909999999982</v>
      </c>
      <c r="N4" s="10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x14ac:dyDescent="0.25">
      <c r="A5" s="8" t="s">
        <v>78</v>
      </c>
      <c r="B5" s="9">
        <v>2114630.8800000004</v>
      </c>
      <c r="C5" s="12">
        <v>414666.88000000006</v>
      </c>
      <c r="D5" s="12">
        <v>863538.4700000002</v>
      </c>
      <c r="E5" s="12">
        <v>715705.14999999979</v>
      </c>
      <c r="F5" s="12">
        <v>-270457.08999999997</v>
      </c>
      <c r="G5" s="10">
        <v>-5288.25</v>
      </c>
      <c r="H5" s="10">
        <v>0</v>
      </c>
      <c r="I5" s="10">
        <v>-617.19999999999709</v>
      </c>
      <c r="J5" s="10">
        <v>254521.86000000002</v>
      </c>
      <c r="K5" s="10">
        <v>41266.119999999995</v>
      </c>
      <c r="L5" s="10">
        <v>81419.179999999993</v>
      </c>
      <c r="M5" s="10"/>
      <c r="N5" s="10">
        <v>19875.759999999998</v>
      </c>
      <c r="O5" s="13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x14ac:dyDescent="0.25">
      <c r="A6" s="8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4"/>
      <c r="AA6" s="5"/>
      <c r="AB6" s="5"/>
    </row>
    <row r="7" spans="1:31" ht="15.75" thickBot="1" x14ac:dyDescent="0.3">
      <c r="A7" s="1" t="s">
        <v>32</v>
      </c>
      <c r="B7" s="15">
        <f t="shared" ref="B7:N7" si="0">SUM(B4:B6)</f>
        <v>2159079.7900000005</v>
      </c>
      <c r="C7" s="15">
        <f t="shared" si="0"/>
        <v>414666.88000000006</v>
      </c>
      <c r="D7" s="15">
        <f t="shared" si="0"/>
        <v>863538.4700000002</v>
      </c>
      <c r="E7" s="15">
        <f t="shared" si="0"/>
        <v>715705.14999999979</v>
      </c>
      <c r="F7" s="15">
        <f t="shared" si="0"/>
        <v>-270457.08999999997</v>
      </c>
      <c r="G7" s="15">
        <f t="shared" si="0"/>
        <v>-5288.25</v>
      </c>
      <c r="H7" s="15">
        <f t="shared" si="0"/>
        <v>0</v>
      </c>
      <c r="I7" s="15">
        <f t="shared" si="0"/>
        <v>-617.19999999999709</v>
      </c>
      <c r="J7" s="15">
        <f t="shared" si="0"/>
        <v>254521.86000000002</v>
      </c>
      <c r="K7" s="15">
        <f t="shared" si="0"/>
        <v>41266.119999999995</v>
      </c>
      <c r="L7" s="15">
        <f t="shared" si="0"/>
        <v>81419.179999999993</v>
      </c>
      <c r="M7" s="15">
        <f t="shared" si="0"/>
        <v>44448.909999999982</v>
      </c>
      <c r="N7" s="15">
        <f t="shared" si="0"/>
        <v>19875.759999999998</v>
      </c>
      <c r="AA7" s="5"/>
      <c r="AB7" s="5"/>
    </row>
    <row r="8" spans="1:31" ht="15.75" thickTop="1" x14ac:dyDescent="0.25">
      <c r="A8" s="1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4"/>
      <c r="AA8" s="5"/>
      <c r="AB8" s="5"/>
    </row>
    <row r="9" spans="1:31" x14ac:dyDescent="0.25">
      <c r="A9" s="67" t="s">
        <v>33</v>
      </c>
      <c r="B9" s="16"/>
      <c r="C9" s="17" t="s">
        <v>3</v>
      </c>
      <c r="D9" s="17" t="s">
        <v>4</v>
      </c>
      <c r="E9" s="17" t="s">
        <v>5</v>
      </c>
      <c r="F9" s="17" t="s">
        <v>6</v>
      </c>
      <c r="G9" s="17" t="s">
        <v>118</v>
      </c>
      <c r="H9" s="17" t="s">
        <v>35</v>
      </c>
      <c r="I9" s="17" t="s">
        <v>8</v>
      </c>
      <c r="J9" s="17" t="s">
        <v>36</v>
      </c>
      <c r="K9" s="17" t="s">
        <v>37</v>
      </c>
      <c r="L9" s="17" t="s">
        <v>38</v>
      </c>
      <c r="M9" s="17" t="s">
        <v>12</v>
      </c>
      <c r="N9" s="17" t="s">
        <v>13</v>
      </c>
      <c r="AA9" s="5"/>
      <c r="AB9" s="5"/>
    </row>
    <row r="10" spans="1:31" x14ac:dyDescent="0.25">
      <c r="A10" s="68"/>
      <c r="B10" s="16">
        <f>SUM(C10:N10)</f>
        <v>2159079.79</v>
      </c>
      <c r="C10" s="18">
        <f t="shared" ref="C10:N10" si="1">C7</f>
        <v>414666.88000000006</v>
      </c>
      <c r="D10" s="18">
        <f t="shared" si="1"/>
        <v>863538.4700000002</v>
      </c>
      <c r="E10" s="18">
        <f t="shared" si="1"/>
        <v>715705.14999999979</v>
      </c>
      <c r="F10" s="18">
        <f t="shared" si="1"/>
        <v>-270457.08999999997</v>
      </c>
      <c r="G10" s="18">
        <f t="shared" si="1"/>
        <v>-5288.25</v>
      </c>
      <c r="H10" s="18">
        <f t="shared" si="1"/>
        <v>0</v>
      </c>
      <c r="I10" s="18">
        <f t="shared" si="1"/>
        <v>-617.19999999999709</v>
      </c>
      <c r="J10" s="18">
        <f t="shared" si="1"/>
        <v>254521.86000000002</v>
      </c>
      <c r="K10" s="18">
        <f t="shared" si="1"/>
        <v>41266.119999999995</v>
      </c>
      <c r="L10" s="18">
        <f t="shared" si="1"/>
        <v>81419.179999999993</v>
      </c>
      <c r="M10" s="18">
        <f t="shared" si="1"/>
        <v>44448.909999999982</v>
      </c>
      <c r="N10" s="18">
        <f t="shared" si="1"/>
        <v>19875.759999999998</v>
      </c>
      <c r="O10" s="14"/>
      <c r="AA10" s="5"/>
      <c r="AB10" s="5"/>
    </row>
    <row r="11" spans="1:31" x14ac:dyDescent="0.25">
      <c r="A11" s="19" t="s">
        <v>39</v>
      </c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AA11" s="5"/>
      <c r="AB11" s="5"/>
    </row>
    <row r="12" spans="1:31" x14ac:dyDescent="0.25">
      <c r="A12" s="21" t="s">
        <v>176</v>
      </c>
      <c r="B12" s="10"/>
      <c r="C12" s="10">
        <v>10054.98</v>
      </c>
      <c r="D12" s="10">
        <v>1615</v>
      </c>
      <c r="E12" s="10"/>
      <c r="F12" s="10"/>
      <c r="G12" s="10"/>
      <c r="H12" s="10"/>
      <c r="I12" s="10"/>
      <c r="J12" s="10"/>
      <c r="K12" s="10"/>
      <c r="L12" s="10"/>
      <c r="M12" s="10">
        <v>34.130000000000003</v>
      </c>
      <c r="N12" s="10"/>
      <c r="O12" s="14"/>
      <c r="AA12" s="5"/>
      <c r="AB12" s="5"/>
    </row>
    <row r="13" spans="1:31" x14ac:dyDescent="0.25">
      <c r="A13" s="20" t="s">
        <v>41</v>
      </c>
      <c r="B13" s="10"/>
      <c r="C13" s="10">
        <v>117620.63</v>
      </c>
      <c r="D13" s="10"/>
      <c r="E13" s="10"/>
      <c r="F13" s="10"/>
      <c r="AA13" s="5"/>
      <c r="AB13" s="5"/>
    </row>
    <row r="14" spans="1:31" x14ac:dyDescent="0.25">
      <c r="A14" s="21" t="s">
        <v>42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4"/>
      <c r="AA14" s="5"/>
      <c r="AB14" s="5"/>
    </row>
    <row r="15" spans="1:31" x14ac:dyDescent="0.25">
      <c r="A15" s="21" t="s">
        <v>45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AA15" s="5"/>
      <c r="AB15" s="5"/>
    </row>
    <row r="16" spans="1:31" x14ac:dyDescent="0.25">
      <c r="A16" s="21" t="s">
        <v>46</v>
      </c>
      <c r="B16" s="10"/>
      <c r="C16" s="10"/>
      <c r="D16" s="10"/>
      <c r="E16" s="10"/>
      <c r="G16" s="10"/>
      <c r="H16" s="10"/>
      <c r="I16" s="10"/>
      <c r="J16" s="10"/>
      <c r="K16" s="10"/>
      <c r="L16" s="10"/>
      <c r="M16" s="10"/>
      <c r="N16" s="10"/>
      <c r="AA16" s="5"/>
      <c r="AB16" s="5"/>
    </row>
    <row r="17" spans="1:29" ht="15.75" customHeight="1" x14ac:dyDescent="0.25">
      <c r="A17" s="21" t="s">
        <v>47</v>
      </c>
      <c r="B17" s="10"/>
      <c r="C17" s="10"/>
      <c r="D17" s="10"/>
      <c r="E17" s="10"/>
      <c r="F17" s="10"/>
      <c r="H17" s="24"/>
      <c r="I17" s="24"/>
      <c r="J17" s="10"/>
      <c r="K17" s="10"/>
      <c r="L17" s="10"/>
      <c r="M17" s="10"/>
      <c r="N17" s="10"/>
      <c r="O17" s="25"/>
      <c r="P17" s="25"/>
      <c r="Q17" s="25"/>
      <c r="AA17" s="5"/>
      <c r="AB17" s="5"/>
    </row>
    <row r="18" spans="1:29" ht="15.75" customHeight="1" x14ac:dyDescent="0.25">
      <c r="A18" s="1" t="s">
        <v>48</v>
      </c>
      <c r="B18" s="26">
        <f t="shared" ref="B18:B20" si="2">SUM(C18:N18)</f>
        <v>129324.74</v>
      </c>
      <c r="C18" s="9">
        <f t="shared" ref="C18:N18" si="3">SUM(C12:C17)</f>
        <v>127675.61</v>
      </c>
      <c r="D18" s="9">
        <f t="shared" si="3"/>
        <v>1615</v>
      </c>
      <c r="E18" s="9">
        <f t="shared" si="3"/>
        <v>0</v>
      </c>
      <c r="F18" s="9">
        <f t="shared" si="3"/>
        <v>0</v>
      </c>
      <c r="G18" s="9">
        <f t="shared" si="3"/>
        <v>0</v>
      </c>
      <c r="H18" s="9">
        <f t="shared" si="3"/>
        <v>0</v>
      </c>
      <c r="I18" s="9">
        <f t="shared" si="3"/>
        <v>0</v>
      </c>
      <c r="J18" s="9">
        <f t="shared" si="3"/>
        <v>0</v>
      </c>
      <c r="K18" s="9">
        <f t="shared" si="3"/>
        <v>0</v>
      </c>
      <c r="L18" s="9">
        <f t="shared" si="3"/>
        <v>0</v>
      </c>
      <c r="M18" s="9">
        <f t="shared" si="3"/>
        <v>34.130000000000003</v>
      </c>
      <c r="N18" s="9">
        <f t="shared" si="3"/>
        <v>0</v>
      </c>
      <c r="O18" s="10"/>
      <c r="P18" s="10"/>
      <c r="Q18" s="10"/>
      <c r="AA18" s="5"/>
      <c r="AB18" s="5"/>
    </row>
    <row r="19" spans="1:29" ht="15.75" customHeight="1" x14ac:dyDescent="0.25">
      <c r="A19" s="1" t="s">
        <v>49</v>
      </c>
      <c r="B19" s="26">
        <f t="shared" si="2"/>
        <v>5713.22</v>
      </c>
      <c r="C19" s="10">
        <v>1038.03</v>
      </c>
      <c r="D19" s="10">
        <v>2092.98</v>
      </c>
      <c r="E19" s="10">
        <v>1734.4</v>
      </c>
      <c r="F19" s="10"/>
      <c r="G19" s="21"/>
      <c r="H19" s="21"/>
      <c r="I19" s="21"/>
      <c r="J19" s="21">
        <v>616.01</v>
      </c>
      <c r="K19" s="21">
        <v>36.049999999999997</v>
      </c>
      <c r="L19" s="21">
        <v>195.75</v>
      </c>
      <c r="M19" s="21"/>
      <c r="N19" s="21"/>
      <c r="O19" s="10"/>
      <c r="P19" s="10"/>
      <c r="Q19" s="10"/>
      <c r="AA19" s="5"/>
      <c r="AB19" s="5"/>
    </row>
    <row r="20" spans="1:29" ht="15.75" customHeight="1" x14ac:dyDescent="0.25">
      <c r="A20" s="1" t="s">
        <v>50</v>
      </c>
      <c r="B20" s="26">
        <f t="shared" si="2"/>
        <v>72238.510000000009</v>
      </c>
      <c r="C20" s="10">
        <f>669.62+1532.54+10122+1500+800+150+1727.13+1234.53+92.27+273.58+1375.92+4931+2424+48.36+3474.4+250.3+13309.41+7640.08+60.48+3525.36</f>
        <v>55140.98000000001</v>
      </c>
      <c r="D20" s="10">
        <f>2435.5+99.73+316.26</f>
        <v>2851.49</v>
      </c>
      <c r="E20" s="10">
        <f>3418.14+825+46.68+32.67+4468.55</f>
        <v>8791.0400000000009</v>
      </c>
      <c r="F20" s="10">
        <f>2954.89+21.78+2478.33</f>
        <v>5455</v>
      </c>
      <c r="G20" s="10"/>
      <c r="H20" s="10"/>
      <c r="I20" s="10"/>
      <c r="J20" s="10"/>
      <c r="K20" s="10"/>
      <c r="L20" s="10"/>
      <c r="M20" s="10"/>
      <c r="N20" s="10"/>
      <c r="O20" s="14"/>
      <c r="P20" s="14"/>
      <c r="Q20" s="14"/>
      <c r="R20" s="14"/>
      <c r="AA20" s="5"/>
      <c r="AB20" s="5"/>
    </row>
    <row r="21" spans="1:29" ht="15.75" customHeight="1" x14ac:dyDescent="0.25">
      <c r="A21" s="1" t="s">
        <v>114</v>
      </c>
      <c r="B21" s="9">
        <f>C21+D21+E21+F21+I21</f>
        <v>19.12</v>
      </c>
      <c r="C21" s="10">
        <v>19.12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4"/>
      <c r="P21" s="14"/>
      <c r="Q21" s="14"/>
      <c r="R21" s="14"/>
      <c r="AA21" s="5"/>
      <c r="AB21" s="5"/>
    </row>
    <row r="22" spans="1:29" ht="15.75" customHeight="1" x14ac:dyDescent="0.25">
      <c r="A22" s="1" t="s">
        <v>46</v>
      </c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  <c r="P22" s="14"/>
      <c r="Q22" s="14"/>
      <c r="R22" s="14"/>
      <c r="AA22" s="5"/>
      <c r="AB22" s="5"/>
    </row>
    <row r="23" spans="1:29" ht="15.75" customHeight="1" x14ac:dyDescent="0.25">
      <c r="A23" s="1" t="s">
        <v>52</v>
      </c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R23" s="14"/>
      <c r="AA23" s="5"/>
    </row>
    <row r="24" spans="1:29" ht="15.75" customHeight="1" x14ac:dyDescent="0.25">
      <c r="A24" s="1" t="s">
        <v>53</v>
      </c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R24" s="14"/>
      <c r="AA24" s="5"/>
    </row>
    <row r="25" spans="1:29" ht="15.75" customHeight="1" x14ac:dyDescent="0.25">
      <c r="A25" s="1" t="s">
        <v>54</v>
      </c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R25" s="14"/>
      <c r="AA25" s="5"/>
    </row>
    <row r="26" spans="1:29" ht="15.75" customHeight="1" x14ac:dyDescent="0.25">
      <c r="A26" s="1" t="s">
        <v>47</v>
      </c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R26" s="14"/>
      <c r="AC26" s="27"/>
    </row>
    <row r="27" spans="1:29" ht="15.75" customHeight="1" x14ac:dyDescent="0.25">
      <c r="A27" s="1" t="s">
        <v>55</v>
      </c>
      <c r="B27" s="26">
        <f>SUM(C27:N27)</f>
        <v>72257.63</v>
      </c>
      <c r="C27" s="10">
        <f t="shared" ref="C27:N27" si="4">SUM(C20:C26)</f>
        <v>55160.100000000013</v>
      </c>
      <c r="D27" s="10">
        <f t="shared" si="4"/>
        <v>2851.49</v>
      </c>
      <c r="E27" s="10">
        <f t="shared" si="4"/>
        <v>8791.0400000000009</v>
      </c>
      <c r="F27" s="10">
        <f t="shared" si="4"/>
        <v>5455</v>
      </c>
      <c r="G27" s="10">
        <f t="shared" si="4"/>
        <v>0</v>
      </c>
      <c r="H27" s="10">
        <f t="shared" si="4"/>
        <v>0</v>
      </c>
      <c r="I27" s="10">
        <f t="shared" si="4"/>
        <v>0</v>
      </c>
      <c r="J27" s="10">
        <f t="shared" si="4"/>
        <v>0</v>
      </c>
      <c r="K27" s="10">
        <f t="shared" si="4"/>
        <v>0</v>
      </c>
      <c r="L27" s="10">
        <f t="shared" si="4"/>
        <v>0</v>
      </c>
      <c r="M27" s="10">
        <f t="shared" si="4"/>
        <v>0</v>
      </c>
      <c r="N27" s="10">
        <f t="shared" si="4"/>
        <v>0</v>
      </c>
      <c r="R27" s="14"/>
    </row>
    <row r="28" spans="1:29" ht="15.75" customHeight="1" x14ac:dyDescent="0.25">
      <c r="A28" s="1" t="s">
        <v>56</v>
      </c>
      <c r="B28" s="26">
        <f>C28+E28+D28+F28</f>
        <v>16516.13</v>
      </c>
      <c r="C28" s="10">
        <v>6019.54</v>
      </c>
      <c r="D28" s="10">
        <v>853.2</v>
      </c>
      <c r="E28" s="10">
        <v>1606.59</v>
      </c>
      <c r="F28" s="10">
        <v>8036.8</v>
      </c>
      <c r="H28" s="25"/>
      <c r="I28" s="25"/>
      <c r="J28" s="25"/>
      <c r="K28" s="25"/>
      <c r="L28" s="25"/>
      <c r="M28" s="25"/>
      <c r="N28" s="25"/>
    </row>
    <row r="29" spans="1:29" ht="15.75" customHeight="1" x14ac:dyDescent="0.25">
      <c r="A29" s="1" t="s">
        <v>56</v>
      </c>
      <c r="B29" s="26">
        <f t="shared" ref="B29:B31" si="5">SUM(C29:G29)</f>
        <v>25984.129999999997</v>
      </c>
      <c r="C29" s="10">
        <v>15270.76</v>
      </c>
      <c r="D29" s="10">
        <v>1232.27</v>
      </c>
      <c r="E29" s="10">
        <v>9481.1</v>
      </c>
      <c r="F29" s="10"/>
    </row>
    <row r="30" spans="1:29" ht="15.75" customHeight="1" x14ac:dyDescent="0.25">
      <c r="A30" s="1" t="s">
        <v>56</v>
      </c>
      <c r="B30" s="26">
        <f t="shared" si="5"/>
        <v>0</v>
      </c>
      <c r="C30" s="10"/>
      <c r="D30" s="10"/>
      <c r="E30" s="10"/>
      <c r="F30" s="10"/>
    </row>
    <row r="31" spans="1:29" ht="15.75" customHeight="1" x14ac:dyDescent="0.25">
      <c r="A31" s="1" t="s">
        <v>56</v>
      </c>
      <c r="B31" s="26">
        <f t="shared" si="5"/>
        <v>0</v>
      </c>
      <c r="C31" s="10"/>
      <c r="D31" s="10"/>
      <c r="E31" s="10"/>
    </row>
    <row r="32" spans="1:29" ht="15.75" customHeight="1" thickBot="1" x14ac:dyDescent="0.3">
      <c r="A32" s="1" t="s">
        <v>57</v>
      </c>
      <c r="B32" s="15">
        <f t="shared" ref="B32:B33" si="6">SUM(C32:N32)</f>
        <v>2179352.31</v>
      </c>
      <c r="C32" s="12">
        <f t="shared" ref="C32:E32" si="7">C10+C18+C19-C29-C27-C28-C30-C31</f>
        <v>466930.12000000011</v>
      </c>
      <c r="D32" s="12">
        <f t="shared" si="7"/>
        <v>862309.49000000022</v>
      </c>
      <c r="E32" s="12">
        <f t="shared" si="7"/>
        <v>697560.81999999983</v>
      </c>
      <c r="F32" s="12">
        <f>F10+F18+F19-F27-F28-F29-F30</f>
        <v>-283948.88999999996</v>
      </c>
      <c r="G32" s="12">
        <f t="shared" ref="G32:L32" si="8">G10+G18+G19-G29-G27-G28-G30</f>
        <v>-5288.25</v>
      </c>
      <c r="H32" s="12">
        <f t="shared" si="8"/>
        <v>0</v>
      </c>
      <c r="I32" s="12">
        <f t="shared" si="8"/>
        <v>-617.19999999999709</v>
      </c>
      <c r="J32" s="12">
        <f t="shared" si="8"/>
        <v>255137.87000000002</v>
      </c>
      <c r="K32" s="12">
        <f t="shared" si="8"/>
        <v>41302.17</v>
      </c>
      <c r="L32" s="12">
        <f t="shared" si="8"/>
        <v>81614.929999999993</v>
      </c>
      <c r="M32" s="12">
        <f>B55-M27</f>
        <v>44475.489999999976</v>
      </c>
      <c r="N32" s="12">
        <f>N10+N18+N19-N29-N27-N28-N30</f>
        <v>19875.759999999998</v>
      </c>
    </row>
    <row r="33" spans="1:15" ht="15.75" customHeight="1" thickTop="1" x14ac:dyDescent="0.25">
      <c r="A33" s="1" t="s">
        <v>177</v>
      </c>
      <c r="B33" s="9">
        <f t="shared" si="6"/>
        <v>2178964.87</v>
      </c>
      <c r="C33" s="12">
        <f>92788.9+9091.86+379267.6</f>
        <v>481148.36</v>
      </c>
      <c r="D33" s="12">
        <f>530195.03+184435.27+148911.46</f>
        <v>863541.76000000001</v>
      </c>
      <c r="E33" s="12">
        <f>126795.2+28592.54+543079.3</f>
        <v>698467.04</v>
      </c>
      <c r="F33" s="12">
        <f>-330409.99+55599.09</f>
        <v>-274810.90000000002</v>
      </c>
      <c r="G33" s="12">
        <v>-5288.25</v>
      </c>
      <c r="H33" s="12">
        <v>0</v>
      </c>
      <c r="I33" s="12">
        <f>-1953.41+1336.22</f>
        <v>-617.19000000000005</v>
      </c>
      <c r="J33" s="12">
        <f>249535.26+5602.61</f>
        <v>255137.87</v>
      </c>
      <c r="K33" s="12">
        <f>43321.54-14343.75+9364.38</f>
        <v>38342.17</v>
      </c>
      <c r="L33" s="12">
        <f>3498.18-16464.49+97541.24</f>
        <v>84574.930000000008</v>
      </c>
      <c r="M33" s="12">
        <v>18593.32</v>
      </c>
      <c r="N33" s="12">
        <v>19875.759999999998</v>
      </c>
    </row>
    <row r="34" spans="1:15" ht="15.75" customHeight="1" x14ac:dyDescent="0.25">
      <c r="A34" s="1" t="s">
        <v>59</v>
      </c>
      <c r="B34" s="9">
        <f t="shared" ref="B34:N34" si="9">B33-B32</f>
        <v>-387.43999999994412</v>
      </c>
      <c r="C34" s="9">
        <f t="shared" si="9"/>
        <v>14218.239999999874</v>
      </c>
      <c r="D34" s="9">
        <f t="shared" si="9"/>
        <v>1232.2699999997858</v>
      </c>
      <c r="E34" s="9">
        <f t="shared" si="9"/>
        <v>906.22000000020489</v>
      </c>
      <c r="F34" s="9">
        <f t="shared" si="9"/>
        <v>9137.9899999999325</v>
      </c>
      <c r="G34" s="9">
        <f t="shared" si="9"/>
        <v>0</v>
      </c>
      <c r="H34" s="9">
        <f t="shared" si="9"/>
        <v>0</v>
      </c>
      <c r="I34" s="9">
        <f t="shared" si="9"/>
        <v>9.9999999970350473E-3</v>
      </c>
      <c r="J34" s="9">
        <f t="shared" si="9"/>
        <v>0</v>
      </c>
      <c r="K34" s="9">
        <f t="shared" si="9"/>
        <v>-2960</v>
      </c>
      <c r="L34" s="9">
        <f t="shared" si="9"/>
        <v>2960.0000000000146</v>
      </c>
      <c r="M34" s="9">
        <f t="shared" si="9"/>
        <v>-25882.169999999976</v>
      </c>
      <c r="N34" s="9">
        <f t="shared" si="9"/>
        <v>0</v>
      </c>
      <c r="O34" s="12"/>
    </row>
    <row r="35" spans="1:15" ht="15.75" customHeight="1" x14ac:dyDescent="0.25">
      <c r="A35" s="28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5" ht="15.75" customHeight="1" x14ac:dyDescent="0.25">
      <c r="A36" s="29" t="s">
        <v>61</v>
      </c>
      <c r="B36" s="16">
        <f>M7</f>
        <v>44448.909999999982</v>
      </c>
      <c r="C36" s="17" t="s">
        <v>3</v>
      </c>
      <c r="D36" s="17" t="s">
        <v>4</v>
      </c>
      <c r="E36" s="17" t="s">
        <v>5</v>
      </c>
      <c r="F36" s="17" t="s">
        <v>6</v>
      </c>
      <c r="G36" s="17" t="s">
        <v>118</v>
      </c>
      <c r="H36" s="17" t="s">
        <v>35</v>
      </c>
      <c r="I36" s="17" t="s">
        <v>8</v>
      </c>
      <c r="J36" s="17" t="s">
        <v>36</v>
      </c>
      <c r="K36" s="17" t="s">
        <v>37</v>
      </c>
      <c r="L36" s="17" t="s">
        <v>38</v>
      </c>
      <c r="M36" s="17" t="s">
        <v>12</v>
      </c>
      <c r="N36" s="17" t="s">
        <v>13</v>
      </c>
    </row>
    <row r="37" spans="1:15" ht="15.75" customHeight="1" x14ac:dyDescent="0.25">
      <c r="A37" s="19" t="s">
        <v>62</v>
      </c>
      <c r="B37" s="10">
        <f t="shared" ref="B37:B40" si="10">C37+E37+D37+F37</f>
        <v>16516.13</v>
      </c>
      <c r="C37" s="10">
        <v>6019.54</v>
      </c>
      <c r="D37" s="10">
        <v>853.2</v>
      </c>
      <c r="E37" s="10">
        <v>1606.59</v>
      </c>
      <c r="F37" s="10">
        <v>8036.8</v>
      </c>
      <c r="H37" s="25"/>
      <c r="I37" s="25"/>
      <c r="J37" s="25"/>
      <c r="K37" s="25"/>
      <c r="L37" s="25"/>
      <c r="M37" s="25"/>
      <c r="N37" s="25"/>
    </row>
    <row r="38" spans="1:15" ht="15.75" customHeight="1" x14ac:dyDescent="0.25">
      <c r="A38" s="10"/>
      <c r="B38" s="10">
        <f t="shared" si="10"/>
        <v>25984.13</v>
      </c>
      <c r="C38" s="10">
        <v>15270.76</v>
      </c>
      <c r="D38" s="10">
        <v>1232.27</v>
      </c>
      <c r="E38" s="10">
        <v>9481.1</v>
      </c>
      <c r="F38" s="10"/>
      <c r="H38" s="25"/>
      <c r="I38" s="25"/>
      <c r="J38" s="25"/>
      <c r="K38" s="25"/>
      <c r="L38" s="25"/>
      <c r="M38" s="25"/>
      <c r="N38" s="25"/>
    </row>
    <row r="39" spans="1:15" ht="15.75" customHeight="1" x14ac:dyDescent="0.25">
      <c r="A39" s="21"/>
      <c r="B39" s="10">
        <f t="shared" si="10"/>
        <v>0</v>
      </c>
      <c r="C39" s="10"/>
      <c r="D39" s="10"/>
      <c r="E39" s="10"/>
      <c r="F39" s="10"/>
      <c r="H39" s="25"/>
      <c r="I39" s="25"/>
      <c r="J39" s="25"/>
      <c r="K39" s="25"/>
      <c r="L39" s="25"/>
      <c r="M39" s="25"/>
      <c r="N39" s="25"/>
    </row>
    <row r="40" spans="1:15" ht="15.75" customHeight="1" x14ac:dyDescent="0.25">
      <c r="A40" s="21"/>
      <c r="B40" s="10">
        <f t="shared" si="10"/>
        <v>0</v>
      </c>
      <c r="C40" s="10"/>
      <c r="D40" s="10"/>
      <c r="E40" s="10"/>
      <c r="F40" s="10"/>
      <c r="H40" s="21"/>
      <c r="I40" s="21"/>
      <c r="J40" s="21"/>
      <c r="K40" s="21"/>
      <c r="L40" s="21"/>
      <c r="M40" s="21"/>
      <c r="N40" s="21"/>
    </row>
    <row r="41" spans="1:15" ht="15.75" customHeight="1" x14ac:dyDescent="0.25">
      <c r="A41" s="21"/>
      <c r="B41" s="10">
        <f>C41+D41+E41</f>
        <v>0</v>
      </c>
      <c r="C41" s="10"/>
      <c r="D41" s="10"/>
      <c r="E41" s="10"/>
      <c r="F41" s="10"/>
      <c r="H41" s="21"/>
      <c r="I41" s="21"/>
      <c r="J41" s="21"/>
      <c r="K41" s="21"/>
      <c r="L41" s="21"/>
      <c r="M41" s="21"/>
      <c r="N41" s="21"/>
    </row>
    <row r="42" spans="1:15" ht="15.75" customHeight="1" x14ac:dyDescent="0.25">
      <c r="A42" s="1" t="s">
        <v>63</v>
      </c>
      <c r="B42" s="26">
        <f t="shared" ref="B42:B43" si="11">M42</f>
        <v>42500.26</v>
      </c>
      <c r="C42" s="10">
        <f t="shared" ref="C42:L42" si="12">SUM(C37:C41)</f>
        <v>21290.3</v>
      </c>
      <c r="D42" s="10">
        <f t="shared" si="12"/>
        <v>2085.4700000000003</v>
      </c>
      <c r="E42" s="10">
        <f t="shared" si="12"/>
        <v>11087.69</v>
      </c>
      <c r="F42" s="10">
        <f t="shared" si="12"/>
        <v>8036.8</v>
      </c>
      <c r="G42" s="10">
        <f t="shared" si="12"/>
        <v>0</v>
      </c>
      <c r="H42" s="10">
        <f t="shared" si="12"/>
        <v>0</v>
      </c>
      <c r="I42" s="10">
        <f t="shared" si="12"/>
        <v>0</v>
      </c>
      <c r="J42" s="10">
        <f t="shared" si="12"/>
        <v>0</v>
      </c>
      <c r="K42" s="10">
        <f t="shared" si="12"/>
        <v>0</v>
      </c>
      <c r="L42" s="10">
        <f t="shared" si="12"/>
        <v>0</v>
      </c>
      <c r="M42" s="26">
        <f>SUM(C42:L42)</f>
        <v>42500.26</v>
      </c>
      <c r="N42" s="9"/>
    </row>
    <row r="43" spans="1:15" ht="15.75" customHeight="1" x14ac:dyDescent="0.25">
      <c r="A43" s="1" t="s">
        <v>49</v>
      </c>
      <c r="B43" s="26">
        <f t="shared" si="11"/>
        <v>0</v>
      </c>
      <c r="D43" s="10"/>
      <c r="E43" s="10"/>
      <c r="F43" s="10"/>
      <c r="H43" s="9"/>
      <c r="I43" s="9"/>
      <c r="J43" s="9"/>
      <c r="K43" s="9"/>
      <c r="L43" s="9"/>
      <c r="M43" s="26"/>
      <c r="N43" s="9"/>
    </row>
    <row r="44" spans="1:15" ht="15.75" customHeight="1" x14ac:dyDescent="0.25">
      <c r="A44" s="1" t="s">
        <v>64</v>
      </c>
      <c r="B44" s="9"/>
      <c r="C44" s="10"/>
      <c r="D44" s="10"/>
      <c r="E44" s="10"/>
      <c r="F44" s="10"/>
      <c r="H44" s="10"/>
      <c r="I44" s="10"/>
      <c r="J44" s="10"/>
      <c r="K44" s="10"/>
      <c r="L44" s="10"/>
      <c r="M44" s="10"/>
      <c r="N44" s="10"/>
    </row>
    <row r="45" spans="1:15" ht="15.75" customHeight="1" x14ac:dyDescent="0.25">
      <c r="A45" s="21" t="s">
        <v>65</v>
      </c>
      <c r="C45" s="10"/>
      <c r="D45" s="10"/>
      <c r="E45" s="10"/>
      <c r="F45" s="10"/>
      <c r="H45" s="10"/>
      <c r="I45" s="10"/>
      <c r="J45" s="10"/>
      <c r="K45" s="10"/>
      <c r="L45" s="10"/>
      <c r="M45" s="10">
        <v>26988.47</v>
      </c>
      <c r="N45" s="10"/>
      <c r="O45" s="10"/>
    </row>
    <row r="46" spans="1:15" ht="15.75" customHeight="1" x14ac:dyDescent="0.25">
      <c r="A46" s="21" t="s">
        <v>66</v>
      </c>
      <c r="C46" s="10"/>
      <c r="D46" s="10"/>
      <c r="E46" s="10"/>
      <c r="F46" s="10"/>
      <c r="H46" s="10"/>
      <c r="I46" s="10"/>
      <c r="J46" s="10"/>
      <c r="K46" s="10"/>
      <c r="L46" s="10"/>
      <c r="M46" s="10">
        <v>1730.54</v>
      </c>
      <c r="N46" s="10"/>
    </row>
    <row r="47" spans="1:15" ht="15.75" customHeight="1" x14ac:dyDescent="0.25">
      <c r="A47" s="21" t="s">
        <v>67</v>
      </c>
      <c r="C47" s="10"/>
      <c r="D47" s="10"/>
      <c r="E47" s="10"/>
      <c r="F47" s="10"/>
      <c r="H47" s="10"/>
      <c r="I47" s="10"/>
      <c r="J47" s="10"/>
      <c r="K47" s="10"/>
      <c r="L47" s="10"/>
      <c r="M47" s="10">
        <v>8860.65</v>
      </c>
      <c r="N47" s="10"/>
    </row>
    <row r="48" spans="1:15" ht="15.75" customHeight="1" x14ac:dyDescent="0.25">
      <c r="A48" s="21" t="s">
        <v>68</v>
      </c>
      <c r="B48" s="10"/>
      <c r="C48" s="10"/>
      <c r="D48" s="10"/>
      <c r="E48" s="10"/>
      <c r="F48" s="10"/>
      <c r="H48" s="10"/>
      <c r="I48" s="10"/>
      <c r="J48" s="10"/>
      <c r="K48" s="10"/>
      <c r="L48" s="10"/>
      <c r="M48" s="10">
        <v>1348.18</v>
      </c>
      <c r="N48" s="10"/>
    </row>
    <row r="49" spans="1:14" ht="15.75" customHeight="1" x14ac:dyDescent="0.25">
      <c r="A49" s="21" t="s">
        <v>69</v>
      </c>
      <c r="B49" s="10"/>
      <c r="C49" s="10"/>
      <c r="D49" s="10"/>
      <c r="E49" s="10"/>
      <c r="F49" s="10"/>
      <c r="H49" s="10"/>
      <c r="I49" s="10"/>
      <c r="J49" s="10"/>
      <c r="K49" s="10"/>
      <c r="L49" s="10"/>
      <c r="M49" s="10">
        <v>248</v>
      </c>
      <c r="N49" s="10"/>
    </row>
    <row r="50" spans="1:14" ht="15.75" customHeight="1" x14ac:dyDescent="0.25">
      <c r="A50" s="21" t="s">
        <v>70</v>
      </c>
      <c r="B50" s="10"/>
      <c r="C50" s="10"/>
      <c r="D50" s="10"/>
      <c r="E50" s="10"/>
      <c r="F50" s="10"/>
      <c r="H50" s="10"/>
      <c r="I50" s="10"/>
      <c r="J50" s="10"/>
      <c r="K50" s="10"/>
      <c r="L50" s="10"/>
      <c r="M50" s="10">
        <v>1363.83</v>
      </c>
      <c r="N50" s="10"/>
    </row>
    <row r="51" spans="1:14" ht="15.75" customHeight="1" x14ac:dyDescent="0.25">
      <c r="A51" s="21" t="s">
        <v>71</v>
      </c>
      <c r="B51" s="10"/>
      <c r="C51" s="10"/>
      <c r="D51" s="10"/>
      <c r="E51" s="10"/>
      <c r="F51" s="10"/>
      <c r="H51" s="10"/>
      <c r="I51" s="10"/>
      <c r="J51" s="10"/>
      <c r="K51" s="10"/>
      <c r="L51" s="10"/>
      <c r="M51" s="10">
        <v>937.23</v>
      </c>
      <c r="N51" s="10"/>
    </row>
    <row r="52" spans="1:14" ht="15.75" customHeight="1" x14ac:dyDescent="0.25">
      <c r="A52" s="21" t="s">
        <v>72</v>
      </c>
      <c r="B52" s="10"/>
      <c r="C52" s="10"/>
      <c r="D52" s="10"/>
      <c r="E52" s="10"/>
      <c r="F52" s="10"/>
      <c r="H52" s="10"/>
      <c r="I52" s="10"/>
      <c r="J52" s="10"/>
      <c r="K52" s="10"/>
      <c r="L52" s="10"/>
      <c r="M52" s="10">
        <v>769.74</v>
      </c>
      <c r="N52" s="10"/>
    </row>
    <row r="53" spans="1:14" ht="15.75" customHeight="1" x14ac:dyDescent="0.25">
      <c r="A53" s="21" t="s">
        <v>73</v>
      </c>
      <c r="B53" s="10"/>
      <c r="C53" s="10"/>
      <c r="D53" s="10"/>
      <c r="E53" s="10"/>
      <c r="F53" s="10"/>
      <c r="H53" s="10"/>
      <c r="I53" s="10"/>
      <c r="J53" s="10"/>
      <c r="K53" s="10"/>
      <c r="L53" s="10"/>
      <c r="M53" s="10">
        <v>227.04</v>
      </c>
      <c r="N53" s="10"/>
    </row>
    <row r="54" spans="1:14" ht="15.75" customHeight="1" x14ac:dyDescent="0.25">
      <c r="A54" s="1" t="s">
        <v>74</v>
      </c>
      <c r="B54" s="26">
        <f>SUM(C54:M54)</f>
        <v>42473.680000000008</v>
      </c>
      <c r="C54" s="10"/>
      <c r="D54" s="10"/>
      <c r="E54" s="10"/>
      <c r="F54" s="10"/>
      <c r="H54" s="9"/>
      <c r="I54" s="9"/>
      <c r="J54" s="9"/>
      <c r="K54" s="9"/>
      <c r="L54" s="9"/>
      <c r="M54" s="26">
        <f>SUM(M45:M53)</f>
        <v>42473.680000000008</v>
      </c>
      <c r="N54" s="9"/>
    </row>
    <row r="55" spans="1:14" ht="15.75" customHeight="1" thickBot="1" x14ac:dyDescent="0.3">
      <c r="A55" s="1" t="s">
        <v>57</v>
      </c>
      <c r="B55" s="15">
        <f>B36+B42+B43-B54</f>
        <v>44475.489999999976</v>
      </c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14" ht="15.75" customHeight="1" thickTop="1" x14ac:dyDescent="0.25">
      <c r="A56" s="1"/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ht="15.75" customHeight="1" x14ac:dyDescent="0.25">
      <c r="A57" s="2" t="s">
        <v>75</v>
      </c>
      <c r="B57" s="3" t="s">
        <v>2</v>
      </c>
      <c r="C57" s="4" t="s">
        <v>3</v>
      </c>
      <c r="D57" s="4" t="s">
        <v>4</v>
      </c>
      <c r="E57" s="4" t="s">
        <v>5</v>
      </c>
      <c r="F57" s="4" t="s">
        <v>6</v>
      </c>
      <c r="G57" s="4" t="s">
        <v>7</v>
      </c>
      <c r="H57" s="4" t="s">
        <v>7</v>
      </c>
      <c r="I57" s="4" t="s">
        <v>8</v>
      </c>
      <c r="J57" s="4" t="s">
        <v>9</v>
      </c>
      <c r="K57" s="4" t="s">
        <v>9</v>
      </c>
      <c r="L57" s="4" t="s">
        <v>9</v>
      </c>
      <c r="M57" s="4" t="s">
        <v>12</v>
      </c>
      <c r="N57" s="4" t="s">
        <v>13</v>
      </c>
    </row>
    <row r="58" spans="1:14" ht="15.75" customHeight="1" x14ac:dyDescent="0.25">
      <c r="A58" s="6" t="s">
        <v>14</v>
      </c>
      <c r="B58" s="6" t="s">
        <v>76</v>
      </c>
      <c r="C58" s="7" t="s">
        <v>16</v>
      </c>
      <c r="D58" s="7" t="s">
        <v>17</v>
      </c>
      <c r="E58" s="7" t="s">
        <v>18</v>
      </c>
      <c r="F58" s="7" t="s">
        <v>19</v>
      </c>
      <c r="G58" s="7" t="s">
        <v>117</v>
      </c>
      <c r="H58" s="7" t="s">
        <v>21</v>
      </c>
      <c r="I58" s="7" t="s">
        <v>22</v>
      </c>
      <c r="J58" s="7" t="s">
        <v>77</v>
      </c>
      <c r="K58" s="7" t="s">
        <v>24</v>
      </c>
      <c r="L58" s="7" t="s">
        <v>25</v>
      </c>
      <c r="M58" s="7" t="s">
        <v>26</v>
      </c>
      <c r="N58" s="7" t="s">
        <v>27</v>
      </c>
    </row>
    <row r="59" spans="1:14" ht="15.75" customHeight="1" x14ac:dyDescent="0.25">
      <c r="A59" s="8" t="s">
        <v>28</v>
      </c>
      <c r="B59" s="9">
        <f t="shared" ref="B59:B60" si="13">SUM(C59:N59)</f>
        <v>44475.489999999976</v>
      </c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>
        <f>B55</f>
        <v>44475.489999999976</v>
      </c>
      <c r="N59" s="10"/>
    </row>
    <row r="60" spans="1:14" ht="15.75" customHeight="1" x14ac:dyDescent="0.25">
      <c r="A60" s="8" t="s">
        <v>78</v>
      </c>
      <c r="B60" s="9">
        <f t="shared" si="13"/>
        <v>2134876.8200000003</v>
      </c>
      <c r="C60" s="12">
        <f t="shared" ref="C60:L60" si="14">C32</f>
        <v>466930.12000000011</v>
      </c>
      <c r="D60" s="12">
        <f t="shared" si="14"/>
        <v>862309.49000000022</v>
      </c>
      <c r="E60" s="12">
        <f t="shared" si="14"/>
        <v>697560.81999999983</v>
      </c>
      <c r="F60" s="12">
        <f t="shared" si="14"/>
        <v>-283948.88999999996</v>
      </c>
      <c r="G60" s="10">
        <f t="shared" si="14"/>
        <v>-5288.25</v>
      </c>
      <c r="H60" s="10">
        <f t="shared" si="14"/>
        <v>0</v>
      </c>
      <c r="I60" s="10">
        <f t="shared" si="14"/>
        <v>-617.19999999999709</v>
      </c>
      <c r="J60" s="10">
        <f t="shared" si="14"/>
        <v>255137.87000000002</v>
      </c>
      <c r="K60" s="10">
        <f t="shared" si="14"/>
        <v>41302.17</v>
      </c>
      <c r="L60" s="10">
        <f t="shared" si="14"/>
        <v>81614.929999999993</v>
      </c>
      <c r="M60" s="10"/>
      <c r="N60" s="10">
        <f>N32</f>
        <v>19875.759999999998</v>
      </c>
    </row>
    <row r="61" spans="1:14" ht="15.75" customHeight="1" x14ac:dyDescent="0.25">
      <c r="A61" s="8"/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ht="15.75" customHeight="1" thickBot="1" x14ac:dyDescent="0.3">
      <c r="A62" s="1" t="s">
        <v>32</v>
      </c>
      <c r="B62" s="15">
        <f>SUM(C62:N62)</f>
        <v>2179352.31</v>
      </c>
      <c r="C62" s="15">
        <f t="shared" ref="C62:N62" si="15">SUM(C59:C60)</f>
        <v>466930.12000000011</v>
      </c>
      <c r="D62" s="15">
        <f t="shared" si="15"/>
        <v>862309.49000000022</v>
      </c>
      <c r="E62" s="15">
        <f t="shared" si="15"/>
        <v>697560.81999999983</v>
      </c>
      <c r="F62" s="15">
        <f t="shared" si="15"/>
        <v>-283948.88999999996</v>
      </c>
      <c r="G62" s="15">
        <f t="shared" si="15"/>
        <v>-5288.25</v>
      </c>
      <c r="H62" s="15">
        <f t="shared" si="15"/>
        <v>0</v>
      </c>
      <c r="I62" s="15">
        <f t="shared" si="15"/>
        <v>-617.19999999999709</v>
      </c>
      <c r="J62" s="15">
        <f t="shared" si="15"/>
        <v>255137.87000000002</v>
      </c>
      <c r="K62" s="15">
        <f t="shared" si="15"/>
        <v>41302.17</v>
      </c>
      <c r="L62" s="15">
        <f t="shared" si="15"/>
        <v>81614.929999999993</v>
      </c>
      <c r="M62" s="15">
        <f t="shared" si="15"/>
        <v>44475.489999999976</v>
      </c>
      <c r="N62" s="15">
        <f t="shared" si="15"/>
        <v>19875.759999999998</v>
      </c>
    </row>
    <row r="63" spans="1:14" ht="15.75" customHeight="1" thickTop="1" x14ac:dyDescent="0.25">
      <c r="A63" s="21"/>
      <c r="B63" s="21"/>
      <c r="C63" s="10"/>
      <c r="D63" s="10"/>
      <c r="E63" s="10"/>
      <c r="F63" s="10"/>
    </row>
    <row r="64" spans="1:14" ht="15.75" customHeight="1" x14ac:dyDescent="0.25">
      <c r="A64" s="21" t="str">
        <f>A1</f>
        <v xml:space="preserve">Month: October 2025                                                                                                                                </v>
      </c>
      <c r="B64" s="21"/>
      <c r="D64" s="10"/>
      <c r="E64" s="10"/>
      <c r="G64" s="10"/>
      <c r="H64" s="10"/>
      <c r="I64" s="10"/>
    </row>
    <row r="65" spans="1:19" ht="15.75" customHeight="1" x14ac:dyDescent="0.25">
      <c r="A65" s="10"/>
      <c r="B65" s="27" t="s">
        <v>79</v>
      </c>
      <c r="C65" s="27" t="s">
        <v>80</v>
      </c>
      <c r="D65" s="27" t="s">
        <v>81</v>
      </c>
      <c r="E65" s="27" t="s">
        <v>82</v>
      </c>
      <c r="F65" s="11" t="s">
        <v>83</v>
      </c>
      <c r="G65" s="10"/>
      <c r="H65" s="10"/>
      <c r="I65" s="10"/>
    </row>
    <row r="66" spans="1:19" ht="15.75" customHeight="1" x14ac:dyDescent="0.25">
      <c r="A66" s="30" t="s">
        <v>84</v>
      </c>
      <c r="B66" s="10"/>
      <c r="C66" s="10">
        <v>328152.42</v>
      </c>
      <c r="D66" s="10">
        <f>C91</f>
        <v>11626.310000000001</v>
      </c>
      <c r="E66" s="10">
        <f>D87</f>
        <v>0</v>
      </c>
      <c r="F66" s="10">
        <f t="shared" ref="F66:F67" si="16">(C66-D66+E66)-B66</f>
        <v>316526.11</v>
      </c>
      <c r="G66" s="10"/>
      <c r="H66" s="10"/>
      <c r="I66" s="10">
        <f>C66-D66</f>
        <v>316526.11</v>
      </c>
      <c r="O66" s="14"/>
    </row>
    <row r="67" spans="1:19" ht="15.75" customHeight="1" x14ac:dyDescent="0.25">
      <c r="A67" s="30" t="s">
        <v>85</v>
      </c>
      <c r="B67" s="10">
        <f>B33-M33</f>
        <v>2160371.5500000003</v>
      </c>
      <c r="C67" s="10">
        <f>218982.98+1584552.55</f>
        <v>1803535.53</v>
      </c>
      <c r="D67" s="10">
        <f>D83</f>
        <v>0</v>
      </c>
      <c r="E67" s="10">
        <f>E79</f>
        <v>0</v>
      </c>
      <c r="F67" s="10">
        <f t="shared" si="16"/>
        <v>-356836.02000000025</v>
      </c>
      <c r="H67" s="10"/>
      <c r="I67" s="10">
        <f>C67+E67</f>
        <v>1803535.53</v>
      </c>
    </row>
    <row r="68" spans="1:19" ht="15.75" customHeight="1" thickBot="1" x14ac:dyDescent="0.3">
      <c r="A68" s="30"/>
      <c r="B68" s="10"/>
      <c r="C68" s="10"/>
      <c r="D68" s="10"/>
      <c r="F68" s="31">
        <f>F66+F67</f>
        <v>-40309.910000000265</v>
      </c>
      <c r="G68" s="10"/>
      <c r="H68" s="10"/>
      <c r="I68" s="10">
        <f>I66+I67</f>
        <v>2120061.64</v>
      </c>
      <c r="O68" s="14"/>
    </row>
    <row r="69" spans="1:19" ht="15.75" customHeight="1" thickTop="1" x14ac:dyDescent="0.25">
      <c r="A69" s="30" t="s">
        <v>28</v>
      </c>
      <c r="B69" s="10">
        <f>B55</f>
        <v>44475.489999999976</v>
      </c>
      <c r="C69" s="10">
        <v>52993.26</v>
      </c>
      <c r="D69" s="10">
        <f>J84</f>
        <v>1066.02</v>
      </c>
      <c r="E69" s="10">
        <f>J89</f>
        <v>0</v>
      </c>
      <c r="F69" s="10">
        <f>(C69-D69+E69)-B69</f>
        <v>7451.7500000000291</v>
      </c>
      <c r="G69" s="10"/>
      <c r="H69" s="10"/>
      <c r="I69" s="10"/>
    </row>
    <row r="70" spans="1:19" ht="15.75" customHeight="1" thickBot="1" x14ac:dyDescent="0.3">
      <c r="A70" s="8"/>
      <c r="B70" s="10"/>
      <c r="C70" s="10" t="s">
        <v>86</v>
      </c>
      <c r="D70" s="10"/>
      <c r="E70" s="10" t="s">
        <v>87</v>
      </c>
      <c r="F70" s="31">
        <f>F68+F69</f>
        <v>-32858.160000000236</v>
      </c>
      <c r="G70" s="10"/>
      <c r="H70" s="10"/>
      <c r="I70" s="10"/>
      <c r="J70" s="32"/>
      <c r="K70" s="32"/>
      <c r="L70" s="32"/>
      <c r="M70" s="32"/>
      <c r="N70" s="32"/>
    </row>
    <row r="71" spans="1:19" ht="15.75" customHeight="1" thickTop="1" x14ac:dyDescent="0.25">
      <c r="A71" s="8"/>
      <c r="B71" s="10"/>
      <c r="C71" s="10"/>
      <c r="D71" s="10"/>
      <c r="E71" s="10"/>
      <c r="F71" s="10"/>
      <c r="G71" s="10"/>
      <c r="H71" s="10"/>
      <c r="I71" s="10"/>
      <c r="J71" s="32"/>
      <c r="K71" s="32"/>
      <c r="L71" s="32"/>
      <c r="M71" s="32"/>
      <c r="N71" s="32"/>
    </row>
    <row r="72" spans="1:19" ht="15.75" customHeight="1" x14ac:dyDescent="0.25">
      <c r="A72" s="27"/>
      <c r="B72" s="69" t="s">
        <v>88</v>
      </c>
      <c r="C72" s="70"/>
      <c r="D72" s="71" t="s">
        <v>89</v>
      </c>
      <c r="E72" s="72"/>
      <c r="F72" s="23" t="s">
        <v>90</v>
      </c>
      <c r="J72" s="33" t="s">
        <v>91</v>
      </c>
      <c r="K72" s="34"/>
      <c r="L72" s="34"/>
      <c r="M72" s="32"/>
      <c r="N72" s="32"/>
      <c r="O72" s="32"/>
      <c r="P72" s="32"/>
      <c r="Q72" s="32"/>
    </row>
    <row r="73" spans="1:19" ht="15.75" customHeight="1" x14ac:dyDescent="0.25">
      <c r="A73" s="52">
        <v>45728</v>
      </c>
      <c r="B73" s="54">
        <v>18859</v>
      </c>
      <c r="C73" s="53">
        <v>61.04</v>
      </c>
      <c r="D73" s="36" t="s">
        <v>92</v>
      </c>
      <c r="E73" s="37">
        <v>0</v>
      </c>
      <c r="H73" s="52">
        <v>45925</v>
      </c>
      <c r="I73" s="54">
        <v>8539</v>
      </c>
      <c r="J73" s="53">
        <v>238.72</v>
      </c>
      <c r="L73" s="8"/>
      <c r="S73" s="14"/>
    </row>
    <row r="74" spans="1:19" ht="15.75" customHeight="1" x14ac:dyDescent="0.25">
      <c r="A74" s="52">
        <v>45945</v>
      </c>
      <c r="B74" s="54">
        <v>19141</v>
      </c>
      <c r="C74" s="53">
        <v>800</v>
      </c>
      <c r="D74" s="38" t="s">
        <v>93</v>
      </c>
      <c r="E74" s="39">
        <v>0</v>
      </c>
      <c r="F74" s="22"/>
      <c r="H74" s="35">
        <v>45951</v>
      </c>
      <c r="I74" s="23">
        <v>8574</v>
      </c>
      <c r="J74" s="23">
        <v>263.51</v>
      </c>
      <c r="L74" s="8"/>
      <c r="S74" s="14"/>
    </row>
    <row r="75" spans="1:19" ht="15.75" customHeight="1" x14ac:dyDescent="0.25">
      <c r="A75" s="52">
        <v>45945</v>
      </c>
      <c r="B75" s="54">
        <v>19163</v>
      </c>
      <c r="C75" s="53">
        <v>549</v>
      </c>
      <c r="D75" s="38" t="s">
        <v>94</v>
      </c>
      <c r="E75" s="39">
        <v>0</v>
      </c>
      <c r="F75" s="22"/>
      <c r="H75" s="52">
        <v>45951</v>
      </c>
      <c r="I75" s="54">
        <v>8575</v>
      </c>
      <c r="J75" s="53">
        <v>88.66</v>
      </c>
      <c r="K75" s="8"/>
      <c r="L75" s="8"/>
      <c r="S75" s="14"/>
    </row>
    <row r="76" spans="1:19" ht="15.75" customHeight="1" x14ac:dyDescent="0.25">
      <c r="A76" s="52">
        <v>45945</v>
      </c>
      <c r="B76" s="54">
        <v>19170</v>
      </c>
      <c r="C76" s="53">
        <v>168.98</v>
      </c>
      <c r="D76" s="38" t="s">
        <v>95</v>
      </c>
      <c r="E76" s="39">
        <v>0</v>
      </c>
      <c r="F76" s="22"/>
      <c r="H76" s="52">
        <v>45958</v>
      </c>
      <c r="I76" s="54">
        <v>8591</v>
      </c>
      <c r="J76" s="53">
        <v>227.13</v>
      </c>
      <c r="K76" s="8"/>
      <c r="L76" s="8"/>
      <c r="S76" s="14"/>
    </row>
    <row r="77" spans="1:19" ht="15.75" customHeight="1" x14ac:dyDescent="0.25">
      <c r="A77" s="52">
        <v>45958</v>
      </c>
      <c r="B77" s="54">
        <v>19184</v>
      </c>
      <c r="C77" s="53">
        <v>10047.290000000001</v>
      </c>
      <c r="D77" s="38" t="s">
        <v>96</v>
      </c>
      <c r="E77" s="39">
        <v>0</v>
      </c>
      <c r="H77" s="52">
        <v>45958</v>
      </c>
      <c r="I77" s="54">
        <v>8592</v>
      </c>
      <c r="J77" s="53">
        <v>248</v>
      </c>
      <c r="K77" s="8"/>
      <c r="L77" s="8"/>
      <c r="S77" s="14"/>
    </row>
    <row r="78" spans="1:19" ht="15.75" customHeight="1" x14ac:dyDescent="0.25">
      <c r="A78" s="52"/>
      <c r="B78" s="54"/>
      <c r="C78" s="53"/>
      <c r="D78" s="38" t="s">
        <v>97</v>
      </c>
      <c r="E78" s="39">
        <v>0</v>
      </c>
      <c r="F78" s="73" t="s">
        <v>98</v>
      </c>
      <c r="G78" s="72"/>
      <c r="H78" s="35"/>
      <c r="I78" s="57"/>
      <c r="J78" s="53"/>
      <c r="K78" s="8"/>
      <c r="L78" s="8"/>
      <c r="S78" s="14"/>
    </row>
    <row r="79" spans="1:19" ht="15.75" customHeight="1" thickBot="1" x14ac:dyDescent="0.3">
      <c r="A79" s="52"/>
      <c r="B79" s="54"/>
      <c r="C79" s="53"/>
      <c r="D79" s="40"/>
      <c r="E79" s="41">
        <f>E73+E74+E75+E76+E77+E78</f>
        <v>0</v>
      </c>
      <c r="F79" s="42"/>
      <c r="G79" s="43"/>
      <c r="H79" s="35"/>
      <c r="J79" s="53"/>
      <c r="K79" s="8"/>
      <c r="L79" s="8"/>
      <c r="S79" s="14"/>
    </row>
    <row r="80" spans="1:19" ht="15.75" customHeight="1" thickTop="1" x14ac:dyDescent="0.25">
      <c r="A80" s="52"/>
      <c r="B80" s="54"/>
      <c r="C80" s="53"/>
      <c r="D80" s="44" t="s">
        <v>99</v>
      </c>
      <c r="F80" s="23" t="s">
        <v>100</v>
      </c>
      <c r="G80" s="27"/>
      <c r="H80" s="35"/>
      <c r="J80" s="53"/>
      <c r="K80" s="8"/>
      <c r="L80" s="8"/>
      <c r="S80" s="14"/>
    </row>
    <row r="81" spans="1:19" ht="15.75" customHeight="1" x14ac:dyDescent="0.25">
      <c r="A81" s="52"/>
      <c r="B81" s="54"/>
      <c r="C81" s="53"/>
      <c r="D81" s="45"/>
      <c r="F81" s="23" t="s">
        <v>101</v>
      </c>
      <c r="G81" s="27"/>
      <c r="H81" s="27"/>
      <c r="I81" s="27"/>
      <c r="J81" s="10"/>
      <c r="K81" s="8"/>
      <c r="L81" s="8"/>
      <c r="S81" s="14"/>
    </row>
    <row r="82" spans="1:19" ht="15.75" customHeight="1" x14ac:dyDescent="0.25">
      <c r="A82" s="52"/>
      <c r="B82" s="54"/>
      <c r="C82" s="56"/>
      <c r="D82" s="14"/>
      <c r="F82" s="23" t="s">
        <v>102</v>
      </c>
      <c r="G82" s="27"/>
      <c r="H82" s="27"/>
      <c r="I82" s="27"/>
      <c r="J82" s="10"/>
      <c r="K82" s="8"/>
      <c r="L82" s="8"/>
      <c r="S82" s="14"/>
    </row>
    <row r="83" spans="1:19" ht="15.75" customHeight="1" thickBot="1" x14ac:dyDescent="0.3">
      <c r="A83" s="52"/>
      <c r="B83" s="54"/>
      <c r="C83" s="53"/>
      <c r="D83" s="46">
        <f>SUM(D81:D82)</f>
        <v>0</v>
      </c>
      <c r="F83" s="23" t="s">
        <v>103</v>
      </c>
      <c r="G83" s="27"/>
      <c r="H83" s="27"/>
      <c r="I83" s="27"/>
      <c r="J83" s="10"/>
      <c r="K83" s="8"/>
      <c r="L83" s="8"/>
      <c r="S83" s="14"/>
    </row>
    <row r="84" spans="1:19" ht="15.75" customHeight="1" thickTop="1" x14ac:dyDescent="0.25">
      <c r="A84" s="52"/>
      <c r="B84" s="54"/>
      <c r="C84" s="53"/>
      <c r="F84" s="23" t="s">
        <v>104</v>
      </c>
      <c r="G84" s="27"/>
      <c r="H84" s="27"/>
      <c r="I84" s="27"/>
      <c r="J84" s="47">
        <f>SUM(J73:J83)</f>
        <v>1066.02</v>
      </c>
      <c r="K84" s="8"/>
      <c r="L84" s="8"/>
      <c r="S84" s="14"/>
    </row>
    <row r="85" spans="1:19" ht="15.75" customHeight="1" x14ac:dyDescent="0.25">
      <c r="A85" s="52"/>
      <c r="B85" s="54"/>
      <c r="C85" s="53"/>
      <c r="F85" s="23" t="s">
        <v>105</v>
      </c>
      <c r="G85" s="27"/>
      <c r="H85" s="27"/>
      <c r="I85" s="27"/>
      <c r="J85" s="14"/>
      <c r="K85" s="8"/>
      <c r="L85" s="8"/>
      <c r="S85" s="14"/>
    </row>
    <row r="86" spans="1:19" ht="15.75" customHeight="1" x14ac:dyDescent="0.25">
      <c r="A86" s="52"/>
      <c r="C86" s="56"/>
      <c r="D86" s="33" t="s">
        <v>106</v>
      </c>
      <c r="E86" s="32"/>
      <c r="F86" s="23" t="s">
        <v>107</v>
      </c>
      <c r="G86" s="27"/>
      <c r="H86" s="27"/>
      <c r="I86" s="27"/>
      <c r="J86" s="33" t="s">
        <v>108</v>
      </c>
      <c r="K86" s="8"/>
      <c r="L86" s="8"/>
      <c r="S86" s="14"/>
    </row>
    <row r="87" spans="1:19" ht="15.75" customHeight="1" x14ac:dyDescent="0.25">
      <c r="A87" s="52"/>
      <c r="B87" s="23"/>
      <c r="C87" s="56"/>
      <c r="D87" s="45"/>
      <c r="E87" s="32"/>
      <c r="F87" s="14"/>
      <c r="J87" s="48"/>
      <c r="K87" s="8"/>
      <c r="L87" s="8"/>
      <c r="S87" s="14"/>
    </row>
    <row r="88" spans="1:19" ht="15" customHeight="1" x14ac:dyDescent="0.25">
      <c r="A88" s="35"/>
      <c r="B88" s="23"/>
      <c r="C88" s="56"/>
      <c r="D88" s="14"/>
      <c r="E88" s="32"/>
      <c r="F88" s="14"/>
      <c r="G88" s="14"/>
      <c r="H88" s="14"/>
      <c r="I88" s="14"/>
      <c r="J88" s="48"/>
      <c r="K88" s="8"/>
      <c r="L88" s="8"/>
      <c r="S88" s="14"/>
    </row>
    <row r="89" spans="1:19" ht="15" customHeight="1" x14ac:dyDescent="0.25">
      <c r="A89" s="35"/>
      <c r="C89" s="56"/>
      <c r="D89" s="14"/>
      <c r="E89" s="32"/>
      <c r="F89" s="14"/>
      <c r="G89" s="14"/>
      <c r="H89" s="49"/>
      <c r="I89" s="8"/>
      <c r="J89" s="50">
        <f>SUM(J87:J88)</f>
        <v>0</v>
      </c>
      <c r="Q89" s="14"/>
    </row>
    <row r="90" spans="1:19" ht="15" customHeight="1" x14ac:dyDescent="0.25">
      <c r="A90" s="35"/>
      <c r="B90" s="23"/>
      <c r="C90" s="14"/>
      <c r="D90" s="14"/>
      <c r="E90" s="32"/>
      <c r="F90" s="14"/>
      <c r="G90" s="14"/>
      <c r="H90" s="49"/>
      <c r="I90" s="8"/>
      <c r="J90" s="8"/>
      <c r="Q90" s="14"/>
    </row>
    <row r="91" spans="1:19" ht="15.75" customHeight="1" thickBot="1" x14ac:dyDescent="0.3">
      <c r="C91" s="46">
        <f>SUM(C73:C90)</f>
        <v>11626.310000000001</v>
      </c>
      <c r="D91" s="14"/>
      <c r="E91" s="32"/>
      <c r="F91" s="14"/>
      <c r="G91" s="14"/>
      <c r="H91" s="49"/>
      <c r="I91" s="8"/>
      <c r="J91" s="8"/>
      <c r="Q91" s="14"/>
    </row>
    <row r="92" spans="1:19" ht="15.75" customHeight="1" thickTop="1" x14ac:dyDescent="0.25">
      <c r="C92" s="14"/>
      <c r="D92" s="32"/>
      <c r="E92" s="14"/>
      <c r="F92" s="14"/>
      <c r="G92" s="49"/>
      <c r="H92" s="8"/>
      <c r="I92" s="8"/>
      <c r="P92" s="14"/>
    </row>
    <row r="93" spans="1:19" ht="15.75" customHeight="1" x14ac:dyDescent="0.25">
      <c r="C93" s="14"/>
      <c r="D93" s="32"/>
      <c r="E93" s="14"/>
      <c r="F93" s="14"/>
      <c r="G93" s="49"/>
      <c r="H93" s="8"/>
      <c r="I93" s="8"/>
      <c r="P93" s="14"/>
    </row>
    <row r="94" spans="1:19" ht="15.75" customHeight="1" x14ac:dyDescent="0.25">
      <c r="C94" s="14"/>
      <c r="D94" s="32"/>
      <c r="E94" s="14"/>
      <c r="F94" s="14"/>
      <c r="G94" s="49"/>
      <c r="H94" s="8"/>
      <c r="I94" s="8"/>
      <c r="P94" s="14"/>
    </row>
    <row r="95" spans="1:19" ht="15.75" customHeight="1" x14ac:dyDescent="0.25">
      <c r="C95" s="14"/>
      <c r="D95" s="32"/>
      <c r="E95" s="14"/>
      <c r="F95" s="14"/>
      <c r="G95" s="49"/>
      <c r="H95" s="8"/>
      <c r="I95" s="8"/>
      <c r="P95" s="14"/>
    </row>
    <row r="96" spans="1:19" ht="15.75" customHeight="1" x14ac:dyDescent="0.25">
      <c r="C96" s="14"/>
      <c r="D96" s="32"/>
      <c r="E96" s="14"/>
      <c r="F96" s="14"/>
      <c r="G96" s="49"/>
      <c r="H96" s="8"/>
      <c r="I96" s="8"/>
      <c r="P96" s="14"/>
    </row>
    <row r="97" spans="2:16" ht="15.75" customHeight="1" x14ac:dyDescent="0.25">
      <c r="C97" s="14"/>
      <c r="D97" s="32"/>
      <c r="E97" s="14"/>
      <c r="F97" s="14"/>
      <c r="G97" s="49"/>
      <c r="H97" s="8"/>
      <c r="I97" s="8"/>
      <c r="P97" s="14"/>
    </row>
    <row r="98" spans="2:16" ht="15.75" customHeight="1" x14ac:dyDescent="0.25">
      <c r="C98" s="14"/>
      <c r="D98" s="32"/>
      <c r="E98" s="14"/>
      <c r="F98" s="14"/>
      <c r="G98" s="49"/>
      <c r="H98" s="8"/>
      <c r="I98" s="8"/>
      <c r="P98" s="14"/>
    </row>
    <row r="99" spans="2:16" ht="15.75" customHeight="1" x14ac:dyDescent="0.25">
      <c r="C99" s="14"/>
      <c r="D99" s="32"/>
      <c r="E99" s="14"/>
      <c r="F99" s="14"/>
      <c r="G99" s="49"/>
      <c r="H99" s="8"/>
      <c r="I99" s="8"/>
      <c r="P99" s="14"/>
    </row>
    <row r="100" spans="2:16" ht="15.75" customHeight="1" x14ac:dyDescent="0.25">
      <c r="B100" s="22"/>
      <c r="C100" s="14"/>
      <c r="D100" s="32"/>
      <c r="E100" s="14"/>
      <c r="F100" s="14"/>
      <c r="G100" s="49"/>
      <c r="H100" s="8"/>
      <c r="I100" s="8"/>
      <c r="P100" s="14"/>
    </row>
    <row r="101" spans="2:16" ht="15.75" customHeight="1" x14ac:dyDescent="0.25">
      <c r="C101" s="14"/>
      <c r="D101" s="32"/>
      <c r="E101" s="14"/>
      <c r="F101" s="14"/>
      <c r="G101" s="49"/>
      <c r="H101" s="8"/>
      <c r="I101" s="8"/>
      <c r="P101" s="14"/>
    </row>
    <row r="102" spans="2:16" ht="15.75" customHeight="1" x14ac:dyDescent="0.25">
      <c r="C102" s="14"/>
      <c r="D102" s="32"/>
      <c r="E102" s="14"/>
      <c r="F102" s="14"/>
      <c r="G102" s="49"/>
      <c r="H102" s="8"/>
      <c r="I102" s="8"/>
      <c r="P102" s="14"/>
    </row>
    <row r="103" spans="2:16" ht="15.75" customHeight="1" x14ac:dyDescent="0.25">
      <c r="C103" s="14"/>
      <c r="D103" s="32"/>
      <c r="E103" s="14"/>
      <c r="F103" s="14"/>
      <c r="G103" s="49"/>
      <c r="H103" s="8"/>
      <c r="I103" s="8"/>
      <c r="P103" s="14"/>
    </row>
    <row r="104" spans="2:16" ht="15.75" customHeight="1" x14ac:dyDescent="0.25">
      <c r="B104" s="14"/>
      <c r="C104" s="14"/>
      <c r="D104" s="32"/>
      <c r="E104" s="14"/>
      <c r="F104" s="14"/>
      <c r="G104" s="49"/>
      <c r="H104" s="8"/>
      <c r="I104" s="8"/>
      <c r="P104" s="14"/>
    </row>
    <row r="105" spans="2:16" ht="15.75" customHeight="1" x14ac:dyDescent="0.25">
      <c r="B105" s="14"/>
      <c r="C105" s="14"/>
      <c r="D105" s="32"/>
      <c r="E105" s="14"/>
      <c r="F105" s="14"/>
      <c r="G105" s="49"/>
      <c r="H105" s="8"/>
      <c r="I105" s="8"/>
      <c r="P105" s="14"/>
    </row>
    <row r="106" spans="2:16" ht="15.75" customHeight="1" x14ac:dyDescent="0.25">
      <c r="B106" s="14"/>
      <c r="C106" s="14"/>
      <c r="D106" s="32"/>
      <c r="E106" s="14"/>
      <c r="F106" s="14"/>
      <c r="G106" s="49"/>
      <c r="H106" s="8"/>
      <c r="I106" s="8"/>
      <c r="P106" s="14"/>
    </row>
    <row r="107" spans="2:16" ht="15.75" customHeight="1" x14ac:dyDescent="0.25">
      <c r="B107" s="14"/>
      <c r="C107" s="22"/>
      <c r="H107" s="8"/>
      <c r="I107" s="8"/>
    </row>
    <row r="108" spans="2:16" ht="15.75" customHeight="1" x14ac:dyDescent="0.25">
      <c r="B108" s="14"/>
      <c r="E108" s="14"/>
    </row>
    <row r="109" spans="2:16" ht="15.75" customHeight="1" x14ac:dyDescent="0.25">
      <c r="B109" s="14"/>
    </row>
    <row r="110" spans="2:16" ht="15.75" customHeight="1" x14ac:dyDescent="0.25">
      <c r="B110" s="14"/>
      <c r="E110" s="14"/>
    </row>
    <row r="111" spans="2:16" ht="15.75" customHeight="1" x14ac:dyDescent="0.25">
      <c r="B111" s="14"/>
    </row>
    <row r="112" spans="2:16" ht="15.75" customHeight="1" x14ac:dyDescent="0.25">
      <c r="B112" s="14"/>
    </row>
    <row r="113" spans="1:3" ht="15.75" customHeight="1" x14ac:dyDescent="0.25">
      <c r="B113" s="14"/>
      <c r="C113" s="22"/>
    </row>
    <row r="114" spans="1:3" ht="15.75" customHeight="1" x14ac:dyDescent="0.25">
      <c r="B114" s="14"/>
    </row>
    <row r="115" spans="1:3" ht="15.75" customHeight="1" x14ac:dyDescent="0.25">
      <c r="B115" s="14"/>
    </row>
    <row r="116" spans="1:3" ht="15.75" customHeight="1" x14ac:dyDescent="0.25">
      <c r="B116" s="14"/>
    </row>
    <row r="117" spans="1:3" ht="15.75" customHeight="1" x14ac:dyDescent="0.25">
      <c r="B117" s="14"/>
    </row>
    <row r="118" spans="1:3" ht="15.75" customHeight="1" x14ac:dyDescent="0.25">
      <c r="A118" s="22"/>
      <c r="B118" s="14"/>
    </row>
    <row r="119" spans="1:3" ht="15.75" customHeight="1" x14ac:dyDescent="0.25">
      <c r="A119" s="22"/>
      <c r="B119" s="14"/>
    </row>
    <row r="120" spans="1:3" ht="15.75" customHeight="1" x14ac:dyDescent="0.25">
      <c r="A120" s="51"/>
      <c r="B120" s="14"/>
    </row>
    <row r="121" spans="1:3" ht="15.75" customHeight="1" x14ac:dyDescent="0.25">
      <c r="A121" s="51"/>
      <c r="B121" s="14"/>
    </row>
    <row r="122" spans="1:3" ht="15.75" customHeight="1" x14ac:dyDescent="0.25">
      <c r="A122" s="51"/>
      <c r="B122" s="14"/>
    </row>
    <row r="123" spans="1:3" ht="15.75" customHeight="1" x14ac:dyDescent="0.25">
      <c r="A123" s="51"/>
      <c r="B123" s="14"/>
    </row>
    <row r="124" spans="1:3" ht="15.75" customHeight="1" x14ac:dyDescent="0.25">
      <c r="A124" s="51"/>
      <c r="B124" s="14"/>
    </row>
    <row r="125" spans="1:3" ht="15.75" customHeight="1" x14ac:dyDescent="0.25">
      <c r="A125" s="51"/>
      <c r="B125" s="14"/>
    </row>
    <row r="126" spans="1:3" ht="15.75" customHeight="1" x14ac:dyDescent="0.25">
      <c r="A126" s="51"/>
      <c r="B126" s="14"/>
    </row>
    <row r="127" spans="1:3" ht="15.75" customHeight="1" x14ac:dyDescent="0.25">
      <c r="A127" s="51"/>
      <c r="B127" s="14"/>
    </row>
    <row r="128" spans="1:3" ht="15.75" customHeight="1" x14ac:dyDescent="0.25">
      <c r="A128" s="51"/>
      <c r="B128" s="14"/>
    </row>
    <row r="129" spans="1:2" ht="15.75" customHeight="1" x14ac:dyDescent="0.25">
      <c r="A129" s="51"/>
      <c r="B129" s="14"/>
    </row>
    <row r="130" spans="1:2" ht="15.75" customHeight="1" x14ac:dyDescent="0.25">
      <c r="A130" s="51"/>
      <c r="B130" s="14"/>
    </row>
    <row r="131" spans="1:2" ht="15.75" customHeight="1" x14ac:dyDescent="0.25">
      <c r="A131" s="51"/>
      <c r="B131" s="14"/>
    </row>
    <row r="132" spans="1:2" ht="15.75" customHeight="1" x14ac:dyDescent="0.25">
      <c r="A132" s="51"/>
    </row>
    <row r="133" spans="1:2" ht="15.75" customHeight="1" x14ac:dyDescent="0.25">
      <c r="A133" s="51"/>
      <c r="B133" s="14"/>
    </row>
    <row r="134" spans="1:2" ht="15.75" customHeight="1" x14ac:dyDescent="0.25">
      <c r="A134" s="51"/>
    </row>
    <row r="135" spans="1:2" ht="15.75" customHeight="1" x14ac:dyDescent="0.25">
      <c r="A135" s="51"/>
    </row>
    <row r="136" spans="1:2" ht="15.75" customHeight="1" x14ac:dyDescent="0.25"/>
    <row r="137" spans="1:2" ht="15.75" customHeight="1" x14ac:dyDescent="0.25"/>
    <row r="138" spans="1:2" ht="15.75" customHeight="1" x14ac:dyDescent="0.25"/>
    <row r="139" spans="1:2" ht="15.75" customHeight="1" x14ac:dyDescent="0.25"/>
    <row r="140" spans="1:2" ht="15.75" customHeight="1" x14ac:dyDescent="0.25"/>
    <row r="141" spans="1:2" ht="15.75" customHeight="1" x14ac:dyDescent="0.25"/>
    <row r="142" spans="1:2" ht="15.75" customHeight="1" x14ac:dyDescent="0.25"/>
    <row r="143" spans="1:2" ht="15.75" customHeight="1" x14ac:dyDescent="0.25"/>
    <row r="144" spans="1:2" ht="15.75" customHeight="1" x14ac:dyDescent="0.25"/>
    <row r="145" spans="1:1" ht="15.75" customHeight="1" x14ac:dyDescent="0.25"/>
    <row r="146" spans="1:1" ht="15.75" customHeight="1" x14ac:dyDescent="0.25"/>
    <row r="147" spans="1:1" ht="15.75" customHeight="1" x14ac:dyDescent="0.25"/>
    <row r="148" spans="1:1" ht="15.75" customHeight="1" x14ac:dyDescent="0.25"/>
    <row r="149" spans="1:1" ht="15.75" customHeight="1" x14ac:dyDescent="0.25">
      <c r="A149" s="51"/>
    </row>
    <row r="150" spans="1:1" ht="15.75" customHeight="1" x14ac:dyDescent="0.25"/>
    <row r="151" spans="1:1" ht="15.75" customHeight="1" x14ac:dyDescent="0.25"/>
    <row r="152" spans="1:1" ht="15.75" customHeight="1" x14ac:dyDescent="0.25"/>
    <row r="153" spans="1:1" ht="15.75" customHeight="1" x14ac:dyDescent="0.25"/>
    <row r="154" spans="1:1" ht="15.75" customHeight="1" x14ac:dyDescent="0.25"/>
    <row r="155" spans="1:1" ht="15.75" customHeight="1" x14ac:dyDescent="0.25"/>
    <row r="156" spans="1:1" ht="15.75" customHeight="1" x14ac:dyDescent="0.25"/>
    <row r="157" spans="1:1" ht="15.75" customHeight="1" x14ac:dyDescent="0.25"/>
    <row r="158" spans="1:1" ht="15.75" customHeight="1" x14ac:dyDescent="0.25"/>
    <row r="159" spans="1:1" ht="15.75" customHeight="1" x14ac:dyDescent="0.25"/>
    <row r="160" spans="1:1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customFormat="1" ht="15.75" customHeight="1" x14ac:dyDescent="0.25"/>
    <row r="210" customFormat="1" ht="15.75" customHeight="1" x14ac:dyDescent="0.25"/>
    <row r="211" customFormat="1" ht="15.75" customHeight="1" x14ac:dyDescent="0.25"/>
    <row r="212" customFormat="1" ht="15.75" customHeight="1" x14ac:dyDescent="0.25"/>
    <row r="213" customFormat="1" ht="15.75" customHeight="1" x14ac:dyDescent="0.25"/>
    <row r="214" customFormat="1" ht="15.75" customHeight="1" x14ac:dyDescent="0.25"/>
    <row r="215" customFormat="1" ht="15.75" customHeight="1" x14ac:dyDescent="0.25"/>
    <row r="216" customFormat="1" ht="15.75" customHeight="1" x14ac:dyDescent="0.25"/>
    <row r="217" customFormat="1" ht="15.75" customHeight="1" x14ac:dyDescent="0.25"/>
    <row r="218" customFormat="1" ht="15.75" customHeight="1" x14ac:dyDescent="0.25"/>
    <row r="219" customFormat="1" ht="15.75" customHeight="1" x14ac:dyDescent="0.25"/>
    <row r="220" customFormat="1" ht="15.75" customHeight="1" x14ac:dyDescent="0.25"/>
    <row r="221" customFormat="1" ht="15.75" customHeight="1" x14ac:dyDescent="0.25"/>
    <row r="222" customFormat="1" ht="15.75" customHeight="1" x14ac:dyDescent="0.25"/>
    <row r="223" customFormat="1" ht="15.75" customHeight="1" x14ac:dyDescent="0.25"/>
    <row r="224" customFormat="1" ht="15.75" customHeight="1" x14ac:dyDescent="0.25"/>
    <row r="225" customFormat="1" ht="15.75" customHeight="1" x14ac:dyDescent="0.25"/>
    <row r="226" customFormat="1" ht="15.75" customHeight="1" x14ac:dyDescent="0.25"/>
    <row r="227" customFormat="1" ht="15.75" customHeight="1" x14ac:dyDescent="0.25"/>
    <row r="228" customFormat="1" ht="15.75" customHeight="1" x14ac:dyDescent="0.25"/>
    <row r="229" customFormat="1" ht="15.75" customHeight="1" x14ac:dyDescent="0.25"/>
    <row r="230" customFormat="1" ht="15.75" customHeight="1" x14ac:dyDescent="0.25"/>
    <row r="231" customFormat="1" ht="15.75" customHeight="1" x14ac:dyDescent="0.25"/>
    <row r="232" customFormat="1" ht="15.75" customHeight="1" x14ac:dyDescent="0.25"/>
    <row r="233" customFormat="1" ht="15.75" customHeight="1" x14ac:dyDescent="0.25"/>
    <row r="234" customFormat="1" ht="15.75" customHeight="1" x14ac:dyDescent="0.25"/>
    <row r="235" customFormat="1" ht="15.75" customHeight="1" x14ac:dyDescent="0.25"/>
    <row r="236" customFormat="1" ht="15.75" customHeight="1" x14ac:dyDescent="0.25"/>
    <row r="237" customFormat="1" ht="15.75" customHeight="1" x14ac:dyDescent="0.25"/>
    <row r="238" customFormat="1" ht="15.75" customHeight="1" x14ac:dyDescent="0.25"/>
    <row r="239" customFormat="1" ht="15.75" customHeight="1" x14ac:dyDescent="0.25"/>
    <row r="240" customFormat="1" ht="15.75" customHeight="1" x14ac:dyDescent="0.25"/>
    <row r="241" customFormat="1" ht="15.75" customHeight="1" x14ac:dyDescent="0.25"/>
    <row r="242" customFormat="1" ht="15.75" customHeight="1" x14ac:dyDescent="0.25"/>
    <row r="243" customFormat="1" ht="15.75" customHeight="1" x14ac:dyDescent="0.25"/>
    <row r="244" customFormat="1" ht="15.75" customHeight="1" x14ac:dyDescent="0.25"/>
    <row r="245" customFormat="1" ht="15.75" customHeight="1" x14ac:dyDescent="0.25"/>
    <row r="246" customFormat="1" ht="15.75" customHeight="1" x14ac:dyDescent="0.25"/>
    <row r="247" customFormat="1" ht="15.75" customHeight="1" x14ac:dyDescent="0.25"/>
    <row r="248" customFormat="1" ht="15.75" customHeight="1" x14ac:dyDescent="0.25"/>
    <row r="249" customFormat="1" ht="15.75" customHeight="1" x14ac:dyDescent="0.25"/>
    <row r="250" customFormat="1" ht="15.75" customHeight="1" x14ac:dyDescent="0.25"/>
    <row r="251" customFormat="1" ht="15.75" customHeight="1" x14ac:dyDescent="0.25"/>
    <row r="252" customFormat="1" ht="15.75" customHeight="1" x14ac:dyDescent="0.25"/>
    <row r="253" customFormat="1" ht="15.75" customHeight="1" x14ac:dyDescent="0.25"/>
    <row r="254" customFormat="1" ht="15.75" customHeight="1" x14ac:dyDescent="0.25"/>
    <row r="255" customFormat="1" ht="15.75" customHeight="1" x14ac:dyDescent="0.25"/>
    <row r="256" customFormat="1" ht="15.75" customHeight="1" x14ac:dyDescent="0.25"/>
    <row r="257" customFormat="1" ht="15.75" customHeight="1" x14ac:dyDescent="0.25"/>
    <row r="258" customFormat="1" ht="15.75" customHeight="1" x14ac:dyDescent="0.25"/>
    <row r="259" customFormat="1" ht="15.75" customHeight="1" x14ac:dyDescent="0.25"/>
    <row r="260" customFormat="1" ht="15.75" customHeight="1" x14ac:dyDescent="0.25"/>
    <row r="261" customFormat="1" ht="15.75" customHeight="1" x14ac:dyDescent="0.25"/>
    <row r="262" customFormat="1" ht="15.75" customHeight="1" x14ac:dyDescent="0.25"/>
    <row r="263" customFormat="1" ht="15.75" customHeight="1" x14ac:dyDescent="0.25"/>
    <row r="264" customFormat="1" ht="15.75" customHeight="1" x14ac:dyDescent="0.25"/>
    <row r="265" customFormat="1" ht="15.75" customHeight="1" x14ac:dyDescent="0.25"/>
    <row r="266" customFormat="1" ht="15.75" customHeight="1" x14ac:dyDescent="0.25"/>
    <row r="267" customFormat="1" ht="15.75" customHeight="1" x14ac:dyDescent="0.25"/>
    <row r="268" customFormat="1" ht="15.75" customHeight="1" x14ac:dyDescent="0.25"/>
    <row r="269" customFormat="1" ht="15.75" customHeight="1" x14ac:dyDescent="0.25"/>
    <row r="270" customFormat="1" ht="15.75" customHeight="1" x14ac:dyDescent="0.25"/>
    <row r="271" customFormat="1" ht="15.75" customHeight="1" x14ac:dyDescent="0.25"/>
    <row r="272" customFormat="1" ht="15.75" customHeight="1" x14ac:dyDescent="0.25"/>
    <row r="273" customFormat="1" ht="15.75" customHeight="1" x14ac:dyDescent="0.25"/>
    <row r="274" customFormat="1" ht="15.75" customHeight="1" x14ac:dyDescent="0.25"/>
    <row r="275" customFormat="1" ht="15.75" customHeight="1" x14ac:dyDescent="0.25"/>
    <row r="276" customFormat="1" ht="15.75" customHeight="1" x14ac:dyDescent="0.25"/>
    <row r="277" customFormat="1" ht="15.75" customHeight="1" x14ac:dyDescent="0.25"/>
    <row r="278" customFormat="1" ht="15.75" customHeight="1" x14ac:dyDescent="0.25"/>
    <row r="279" customFormat="1" ht="15.75" customHeight="1" x14ac:dyDescent="0.25"/>
    <row r="280" customFormat="1" ht="15.75" customHeight="1" x14ac:dyDescent="0.25"/>
    <row r="281" customFormat="1" ht="15.75" customHeight="1" x14ac:dyDescent="0.25"/>
    <row r="282" customFormat="1" ht="15.75" customHeight="1" x14ac:dyDescent="0.25"/>
    <row r="283" customFormat="1" ht="15.75" customHeight="1" x14ac:dyDescent="0.25"/>
    <row r="284" customFormat="1" ht="15.75" customHeight="1" x14ac:dyDescent="0.25"/>
    <row r="285" customFormat="1" ht="15.75" customHeight="1" x14ac:dyDescent="0.25"/>
    <row r="286" customFormat="1" ht="15.75" customHeight="1" x14ac:dyDescent="0.25"/>
    <row r="287" customFormat="1" ht="15.75" customHeight="1" x14ac:dyDescent="0.25"/>
    <row r="288" customFormat="1" ht="15.75" customHeight="1" x14ac:dyDescent="0.25"/>
    <row r="289" customFormat="1" ht="15.75" customHeight="1" x14ac:dyDescent="0.25"/>
    <row r="290" customFormat="1" ht="15.75" customHeight="1" x14ac:dyDescent="0.25"/>
    <row r="291" customFormat="1" ht="15.75" customHeight="1" x14ac:dyDescent="0.25"/>
    <row r="292" customFormat="1" ht="15.75" customHeight="1" x14ac:dyDescent="0.25"/>
    <row r="293" customFormat="1" ht="15.75" customHeight="1" x14ac:dyDescent="0.25"/>
    <row r="294" customFormat="1" ht="15.75" customHeight="1" x14ac:dyDescent="0.25"/>
    <row r="295" customFormat="1" ht="15.75" customHeight="1" x14ac:dyDescent="0.25"/>
    <row r="296" customFormat="1" ht="15.75" customHeight="1" x14ac:dyDescent="0.25"/>
    <row r="297" customFormat="1" ht="15.75" customHeight="1" x14ac:dyDescent="0.25"/>
    <row r="298" customFormat="1" ht="15.75" customHeight="1" x14ac:dyDescent="0.25"/>
    <row r="299" customFormat="1" ht="15.75" customHeight="1" x14ac:dyDescent="0.25"/>
    <row r="300" customFormat="1" ht="15.75" customHeight="1" x14ac:dyDescent="0.25"/>
    <row r="301" customFormat="1" ht="15.75" customHeight="1" x14ac:dyDescent="0.25"/>
    <row r="302" customFormat="1" ht="15.75" customHeight="1" x14ac:dyDescent="0.25"/>
    <row r="303" customFormat="1" ht="15.75" customHeight="1" x14ac:dyDescent="0.25"/>
    <row r="304" customFormat="1" ht="15.75" customHeight="1" x14ac:dyDescent="0.25"/>
    <row r="305" customFormat="1" ht="15.75" customHeight="1" x14ac:dyDescent="0.25"/>
    <row r="306" customFormat="1" ht="15.75" customHeight="1" x14ac:dyDescent="0.25"/>
    <row r="307" customFormat="1" ht="15.75" customHeight="1" x14ac:dyDescent="0.25"/>
    <row r="308" customFormat="1" ht="15.75" customHeight="1" x14ac:dyDescent="0.25"/>
    <row r="309" customFormat="1" ht="15.75" customHeight="1" x14ac:dyDescent="0.25"/>
    <row r="310" customFormat="1" ht="15.75" customHeight="1" x14ac:dyDescent="0.25"/>
    <row r="311" customFormat="1" ht="15.75" customHeight="1" x14ac:dyDescent="0.25"/>
    <row r="312" customFormat="1" ht="15.75" customHeight="1" x14ac:dyDescent="0.25"/>
    <row r="313" customFormat="1" ht="15.75" customHeight="1" x14ac:dyDescent="0.25"/>
    <row r="314" customFormat="1" ht="15.75" customHeight="1" x14ac:dyDescent="0.25"/>
    <row r="315" customFormat="1" ht="15.75" customHeight="1" x14ac:dyDescent="0.25"/>
    <row r="316" customFormat="1" ht="15.75" customHeight="1" x14ac:dyDescent="0.25"/>
    <row r="317" customFormat="1" ht="15.75" customHeight="1" x14ac:dyDescent="0.25"/>
    <row r="318" customFormat="1" ht="15.75" customHeight="1" x14ac:dyDescent="0.25"/>
    <row r="319" customFormat="1" ht="15.75" customHeight="1" x14ac:dyDescent="0.25"/>
    <row r="320" customFormat="1" ht="15.75" customHeight="1" x14ac:dyDescent="0.25"/>
    <row r="321" customFormat="1" ht="15.75" customHeight="1" x14ac:dyDescent="0.25"/>
    <row r="322" customFormat="1" ht="15.75" customHeight="1" x14ac:dyDescent="0.25"/>
    <row r="323" customFormat="1" ht="15.75" customHeight="1" x14ac:dyDescent="0.25"/>
    <row r="324" customFormat="1" ht="15.75" customHeight="1" x14ac:dyDescent="0.25"/>
    <row r="325" customFormat="1" ht="15.75" customHeight="1" x14ac:dyDescent="0.25"/>
    <row r="326" customFormat="1" ht="15.75" customHeight="1" x14ac:dyDescent="0.25"/>
    <row r="327" customFormat="1" ht="15.75" customHeight="1" x14ac:dyDescent="0.25"/>
    <row r="328" customFormat="1" ht="15.75" customHeight="1" x14ac:dyDescent="0.25"/>
    <row r="329" customFormat="1" ht="15.75" customHeight="1" x14ac:dyDescent="0.25"/>
    <row r="330" customFormat="1" ht="15.75" customHeight="1" x14ac:dyDescent="0.25"/>
    <row r="331" customFormat="1" ht="15.75" customHeight="1" x14ac:dyDescent="0.25"/>
    <row r="332" customFormat="1" ht="15.75" customHeight="1" x14ac:dyDescent="0.25"/>
    <row r="333" customFormat="1" ht="15.75" customHeight="1" x14ac:dyDescent="0.25"/>
    <row r="334" customFormat="1" ht="15.75" customHeight="1" x14ac:dyDescent="0.25"/>
    <row r="335" customFormat="1" ht="15.75" customHeight="1" x14ac:dyDescent="0.25"/>
    <row r="336" customFormat="1" ht="15.75" customHeight="1" x14ac:dyDescent="0.25"/>
    <row r="337" customFormat="1" ht="15.75" customHeight="1" x14ac:dyDescent="0.25"/>
    <row r="338" customFormat="1" ht="15.75" customHeight="1" x14ac:dyDescent="0.25"/>
    <row r="339" customFormat="1" ht="15.75" customHeight="1" x14ac:dyDescent="0.25"/>
    <row r="340" customFormat="1" ht="15.75" customHeight="1" x14ac:dyDescent="0.25"/>
    <row r="341" customFormat="1" ht="15.75" customHeight="1" x14ac:dyDescent="0.25"/>
    <row r="342" customFormat="1" ht="15.75" customHeight="1" x14ac:dyDescent="0.25"/>
    <row r="343" customFormat="1" ht="15.75" customHeight="1" x14ac:dyDescent="0.25"/>
    <row r="344" customFormat="1" ht="15.75" customHeight="1" x14ac:dyDescent="0.25"/>
    <row r="345" customFormat="1" ht="15.75" customHeight="1" x14ac:dyDescent="0.25"/>
    <row r="346" customFormat="1" ht="15.75" customHeight="1" x14ac:dyDescent="0.25"/>
    <row r="347" customFormat="1" ht="15.75" customHeight="1" x14ac:dyDescent="0.25"/>
    <row r="348" customFormat="1" ht="15.75" customHeight="1" x14ac:dyDescent="0.25"/>
    <row r="349" customFormat="1" ht="15.75" customHeight="1" x14ac:dyDescent="0.25"/>
    <row r="350" customFormat="1" ht="15.75" customHeight="1" x14ac:dyDescent="0.25"/>
    <row r="351" customFormat="1" ht="15.75" customHeight="1" x14ac:dyDescent="0.25"/>
    <row r="352" customFormat="1" ht="15.75" customHeight="1" x14ac:dyDescent="0.25"/>
    <row r="353" customFormat="1" ht="15.75" customHeight="1" x14ac:dyDescent="0.25"/>
    <row r="354" customFormat="1" ht="15.75" customHeight="1" x14ac:dyDescent="0.25"/>
    <row r="355" customFormat="1" ht="15.75" customHeight="1" x14ac:dyDescent="0.25"/>
    <row r="356" customFormat="1" ht="15.75" customHeight="1" x14ac:dyDescent="0.25"/>
    <row r="357" customFormat="1" ht="15.75" customHeight="1" x14ac:dyDescent="0.25"/>
    <row r="358" customFormat="1" ht="15.75" customHeight="1" x14ac:dyDescent="0.25"/>
    <row r="359" customFormat="1" ht="15.75" customHeight="1" x14ac:dyDescent="0.25"/>
    <row r="360" customFormat="1" ht="15.75" customHeight="1" x14ac:dyDescent="0.25"/>
    <row r="361" customFormat="1" ht="15.75" customHeight="1" x14ac:dyDescent="0.25"/>
    <row r="362" customFormat="1" ht="15.75" customHeight="1" x14ac:dyDescent="0.25"/>
    <row r="363" customFormat="1" ht="15.75" customHeight="1" x14ac:dyDescent="0.25"/>
    <row r="364" customFormat="1" ht="15.75" customHeight="1" x14ac:dyDescent="0.25"/>
    <row r="365" customFormat="1" ht="15.75" customHeight="1" x14ac:dyDescent="0.25"/>
    <row r="366" customFormat="1" ht="15.75" customHeight="1" x14ac:dyDescent="0.25"/>
    <row r="367" customFormat="1" ht="15.75" customHeight="1" x14ac:dyDescent="0.25"/>
    <row r="368" customFormat="1" ht="15.75" customHeight="1" x14ac:dyDescent="0.25"/>
    <row r="369" customFormat="1" ht="15.75" customHeight="1" x14ac:dyDescent="0.25"/>
    <row r="370" customFormat="1" ht="15.75" customHeight="1" x14ac:dyDescent="0.25"/>
    <row r="371" customFormat="1" ht="15.75" customHeight="1" x14ac:dyDescent="0.25"/>
    <row r="372" customFormat="1" ht="15.75" customHeight="1" x14ac:dyDescent="0.25"/>
    <row r="373" customFormat="1" ht="15.75" customHeight="1" x14ac:dyDescent="0.25"/>
    <row r="374" customFormat="1" ht="15.75" customHeight="1" x14ac:dyDescent="0.25"/>
    <row r="375" customFormat="1" ht="15.75" customHeight="1" x14ac:dyDescent="0.25"/>
    <row r="376" customFormat="1" ht="15.75" customHeight="1" x14ac:dyDescent="0.25"/>
    <row r="377" customFormat="1" ht="15.75" customHeight="1" x14ac:dyDescent="0.25"/>
    <row r="378" customFormat="1" ht="15.75" customHeight="1" x14ac:dyDescent="0.25"/>
    <row r="379" customFormat="1" ht="15.75" customHeight="1" x14ac:dyDescent="0.25"/>
    <row r="380" customFormat="1" ht="15.75" customHeight="1" x14ac:dyDescent="0.25"/>
    <row r="381" customFormat="1" ht="15.75" customHeight="1" x14ac:dyDescent="0.25"/>
    <row r="382" customFormat="1" ht="15.75" customHeight="1" x14ac:dyDescent="0.25"/>
    <row r="383" customFormat="1" ht="15.75" customHeight="1" x14ac:dyDescent="0.25"/>
    <row r="384" customFormat="1" ht="15.75" customHeight="1" x14ac:dyDescent="0.25"/>
    <row r="385" customFormat="1" ht="15.75" customHeight="1" x14ac:dyDescent="0.25"/>
    <row r="386" customFormat="1" ht="15.75" customHeight="1" x14ac:dyDescent="0.25"/>
    <row r="387" customFormat="1" ht="15.75" customHeight="1" x14ac:dyDescent="0.25"/>
    <row r="388" customFormat="1" ht="15.75" customHeight="1" x14ac:dyDescent="0.25"/>
    <row r="389" customFormat="1" ht="15.75" customHeight="1" x14ac:dyDescent="0.25"/>
    <row r="390" customFormat="1" ht="15.75" customHeight="1" x14ac:dyDescent="0.25"/>
    <row r="391" customFormat="1" ht="15.75" customHeight="1" x14ac:dyDescent="0.25"/>
    <row r="392" customFormat="1" ht="15.75" customHeight="1" x14ac:dyDescent="0.25"/>
    <row r="393" customFormat="1" ht="15.75" customHeight="1" x14ac:dyDescent="0.25"/>
    <row r="394" customFormat="1" ht="15.75" customHeight="1" x14ac:dyDescent="0.25"/>
    <row r="395" customFormat="1" ht="15.75" customHeight="1" x14ac:dyDescent="0.25"/>
    <row r="396" customFormat="1" ht="15.75" customHeight="1" x14ac:dyDescent="0.25"/>
    <row r="397" customFormat="1" ht="15.75" customHeight="1" x14ac:dyDescent="0.25"/>
    <row r="398" customFormat="1" ht="15.75" customHeight="1" x14ac:dyDescent="0.25"/>
    <row r="399" customFormat="1" ht="15.75" customHeight="1" x14ac:dyDescent="0.25"/>
    <row r="400" customFormat="1" ht="15.75" customHeight="1" x14ac:dyDescent="0.25"/>
    <row r="401" customFormat="1" ht="15.75" customHeight="1" x14ac:dyDescent="0.25"/>
    <row r="402" customFormat="1" ht="15.75" customHeight="1" x14ac:dyDescent="0.25"/>
    <row r="403" customFormat="1" ht="15.75" customHeight="1" x14ac:dyDescent="0.25"/>
    <row r="404" customFormat="1" ht="15.75" customHeight="1" x14ac:dyDescent="0.25"/>
    <row r="405" customFormat="1" ht="15.75" customHeight="1" x14ac:dyDescent="0.25"/>
    <row r="406" customFormat="1" ht="15.75" customHeight="1" x14ac:dyDescent="0.25"/>
    <row r="407" customFormat="1" ht="15.75" customHeight="1" x14ac:dyDescent="0.25"/>
    <row r="408" customFormat="1" ht="15.75" customHeight="1" x14ac:dyDescent="0.25"/>
    <row r="409" customFormat="1" ht="15.75" customHeight="1" x14ac:dyDescent="0.25"/>
    <row r="410" customFormat="1" ht="15.75" customHeight="1" x14ac:dyDescent="0.25"/>
    <row r="411" customFormat="1" ht="15.75" customHeight="1" x14ac:dyDescent="0.25"/>
    <row r="412" customFormat="1" ht="15.75" customHeight="1" x14ac:dyDescent="0.25"/>
    <row r="413" customFormat="1" ht="15.75" customHeight="1" x14ac:dyDescent="0.25"/>
    <row r="414" customFormat="1" ht="15.75" customHeight="1" x14ac:dyDescent="0.25"/>
    <row r="415" customFormat="1" ht="15.75" customHeight="1" x14ac:dyDescent="0.25"/>
    <row r="416" customFormat="1" ht="15.75" customHeight="1" x14ac:dyDescent="0.25"/>
    <row r="417" customFormat="1" ht="15.75" customHeight="1" x14ac:dyDescent="0.25"/>
    <row r="418" customFormat="1" ht="15.75" customHeight="1" x14ac:dyDescent="0.25"/>
    <row r="419" customFormat="1" ht="15.75" customHeight="1" x14ac:dyDescent="0.25"/>
    <row r="420" customFormat="1" ht="15.75" customHeight="1" x14ac:dyDescent="0.25"/>
    <row r="421" customFormat="1" ht="15.75" customHeight="1" x14ac:dyDescent="0.25"/>
    <row r="422" customFormat="1" ht="15.75" customHeight="1" x14ac:dyDescent="0.25"/>
    <row r="423" customFormat="1" ht="15.75" customHeight="1" x14ac:dyDescent="0.25"/>
    <row r="424" customFormat="1" ht="15.75" customHeight="1" x14ac:dyDescent="0.25"/>
    <row r="425" customFormat="1" ht="15.75" customHeight="1" x14ac:dyDescent="0.25"/>
    <row r="426" customFormat="1" ht="15.75" customHeight="1" x14ac:dyDescent="0.25"/>
    <row r="427" customFormat="1" ht="15.75" customHeight="1" x14ac:dyDescent="0.25"/>
    <row r="428" customFormat="1" ht="15.75" customHeight="1" x14ac:dyDescent="0.25"/>
    <row r="429" customFormat="1" ht="15.75" customHeight="1" x14ac:dyDescent="0.25"/>
    <row r="430" customFormat="1" ht="15.75" customHeight="1" x14ac:dyDescent="0.25"/>
    <row r="431" customFormat="1" ht="15.75" customHeight="1" x14ac:dyDescent="0.25"/>
    <row r="432" customFormat="1" ht="15.75" customHeight="1" x14ac:dyDescent="0.25"/>
    <row r="433" customFormat="1" ht="15.75" customHeight="1" x14ac:dyDescent="0.25"/>
    <row r="434" customFormat="1" ht="15.75" customHeight="1" x14ac:dyDescent="0.25"/>
    <row r="435" customFormat="1" ht="15.75" customHeight="1" x14ac:dyDescent="0.25"/>
    <row r="436" customFormat="1" ht="15.75" customHeight="1" x14ac:dyDescent="0.25"/>
    <row r="437" customFormat="1" ht="15.75" customHeight="1" x14ac:dyDescent="0.25"/>
    <row r="438" customFormat="1" ht="15.75" customHeight="1" x14ac:dyDescent="0.25"/>
    <row r="439" customFormat="1" ht="15.75" customHeight="1" x14ac:dyDescent="0.25"/>
    <row r="440" customFormat="1" ht="15.75" customHeight="1" x14ac:dyDescent="0.25"/>
    <row r="441" customFormat="1" ht="15.75" customHeight="1" x14ac:dyDescent="0.25"/>
    <row r="442" customFormat="1" ht="15.75" customHeight="1" x14ac:dyDescent="0.25"/>
    <row r="443" customFormat="1" ht="15.75" customHeight="1" x14ac:dyDescent="0.25"/>
    <row r="444" customFormat="1" ht="15.75" customHeight="1" x14ac:dyDescent="0.25"/>
    <row r="445" customFormat="1" ht="15.75" customHeight="1" x14ac:dyDescent="0.25"/>
    <row r="446" customFormat="1" ht="15.75" customHeight="1" x14ac:dyDescent="0.25"/>
    <row r="447" customFormat="1" ht="15.75" customHeight="1" x14ac:dyDescent="0.25"/>
    <row r="448" customFormat="1" ht="15.75" customHeight="1" x14ac:dyDescent="0.25"/>
    <row r="449" customFormat="1" ht="15.75" customHeight="1" x14ac:dyDescent="0.25"/>
    <row r="450" customFormat="1" ht="15.75" customHeight="1" x14ac:dyDescent="0.25"/>
    <row r="451" customFormat="1" ht="15.75" customHeight="1" x14ac:dyDescent="0.25"/>
    <row r="452" customFormat="1" ht="15.75" customHeight="1" x14ac:dyDescent="0.25"/>
    <row r="453" customFormat="1" ht="15.75" customHeight="1" x14ac:dyDescent="0.25"/>
    <row r="454" customFormat="1" ht="15.75" customHeight="1" x14ac:dyDescent="0.25"/>
    <row r="455" customFormat="1" ht="15.75" customHeight="1" x14ac:dyDescent="0.25"/>
    <row r="456" customFormat="1" ht="15.75" customHeight="1" x14ac:dyDescent="0.25"/>
    <row r="457" customFormat="1" ht="15.75" customHeight="1" x14ac:dyDescent="0.25"/>
    <row r="458" customFormat="1" ht="15.75" customHeight="1" x14ac:dyDescent="0.25"/>
    <row r="459" customFormat="1" ht="15.75" customHeight="1" x14ac:dyDescent="0.25"/>
    <row r="460" customFormat="1" ht="15.75" customHeight="1" x14ac:dyDescent="0.25"/>
    <row r="461" customFormat="1" ht="15.75" customHeight="1" x14ac:dyDescent="0.25"/>
    <row r="462" customFormat="1" ht="15.75" customHeight="1" x14ac:dyDescent="0.25"/>
    <row r="463" customFormat="1" ht="15.75" customHeight="1" x14ac:dyDescent="0.25"/>
    <row r="464" customFormat="1" ht="15.75" customHeight="1" x14ac:dyDescent="0.25"/>
    <row r="465" customFormat="1" ht="15.75" customHeight="1" x14ac:dyDescent="0.25"/>
    <row r="466" customFormat="1" ht="15.75" customHeight="1" x14ac:dyDescent="0.25"/>
    <row r="467" customFormat="1" ht="15.75" customHeight="1" x14ac:dyDescent="0.25"/>
    <row r="468" customFormat="1" ht="15.75" customHeight="1" x14ac:dyDescent="0.25"/>
    <row r="469" customFormat="1" ht="15.75" customHeight="1" x14ac:dyDescent="0.25"/>
    <row r="470" customFormat="1" ht="15.75" customHeight="1" x14ac:dyDescent="0.25"/>
    <row r="471" customFormat="1" ht="15.75" customHeight="1" x14ac:dyDescent="0.25"/>
    <row r="472" customFormat="1" ht="15.75" customHeight="1" x14ac:dyDescent="0.25"/>
    <row r="473" customFormat="1" ht="15.75" customHeight="1" x14ac:dyDescent="0.25"/>
    <row r="474" customFormat="1" ht="15.75" customHeight="1" x14ac:dyDescent="0.25"/>
    <row r="475" customFormat="1" ht="15.75" customHeight="1" x14ac:dyDescent="0.25"/>
    <row r="476" customFormat="1" ht="15.75" customHeight="1" x14ac:dyDescent="0.25"/>
    <row r="477" customFormat="1" ht="15.75" customHeight="1" x14ac:dyDescent="0.25"/>
    <row r="478" customFormat="1" ht="15.75" customHeight="1" x14ac:dyDescent="0.25"/>
    <row r="479" customFormat="1" ht="15.75" customHeight="1" x14ac:dyDescent="0.25"/>
    <row r="480" customFormat="1" ht="15.75" customHeight="1" x14ac:dyDescent="0.25"/>
    <row r="481" customFormat="1" ht="15.75" customHeight="1" x14ac:dyDescent="0.25"/>
    <row r="482" customFormat="1" ht="15.75" customHeight="1" x14ac:dyDescent="0.25"/>
    <row r="483" customFormat="1" ht="15.75" customHeight="1" x14ac:dyDescent="0.25"/>
    <row r="484" customFormat="1" ht="15.75" customHeight="1" x14ac:dyDescent="0.25"/>
    <row r="485" customFormat="1" ht="15.75" customHeight="1" x14ac:dyDescent="0.25"/>
    <row r="486" customFormat="1" ht="15.75" customHeight="1" x14ac:dyDescent="0.25"/>
    <row r="487" customFormat="1" ht="15.75" customHeight="1" x14ac:dyDescent="0.25"/>
    <row r="488" customFormat="1" ht="15.75" customHeight="1" x14ac:dyDescent="0.25"/>
    <row r="489" customFormat="1" ht="15.75" customHeight="1" x14ac:dyDescent="0.25"/>
    <row r="490" customFormat="1" ht="15.75" customHeight="1" x14ac:dyDescent="0.25"/>
    <row r="491" customFormat="1" ht="15.75" customHeight="1" x14ac:dyDescent="0.25"/>
    <row r="492" customFormat="1" ht="15.75" customHeight="1" x14ac:dyDescent="0.25"/>
    <row r="493" customFormat="1" ht="15.75" customHeight="1" x14ac:dyDescent="0.25"/>
    <row r="494" customFormat="1" ht="15.75" customHeight="1" x14ac:dyDescent="0.25"/>
    <row r="495" customFormat="1" ht="15.75" customHeight="1" x14ac:dyDescent="0.25"/>
    <row r="496" customFormat="1" ht="15.75" customHeight="1" x14ac:dyDescent="0.25"/>
    <row r="497" customFormat="1" ht="15.75" customHeight="1" x14ac:dyDescent="0.25"/>
    <row r="498" customFormat="1" ht="15.75" customHeight="1" x14ac:dyDescent="0.25"/>
    <row r="499" customFormat="1" ht="15.75" customHeight="1" x14ac:dyDescent="0.25"/>
    <row r="500" customFormat="1" ht="15.75" customHeight="1" x14ac:dyDescent="0.25"/>
    <row r="501" customFormat="1" ht="15.75" customHeight="1" x14ac:dyDescent="0.25"/>
    <row r="502" customFormat="1" ht="15.75" customHeight="1" x14ac:dyDescent="0.25"/>
    <row r="503" customFormat="1" ht="15.75" customHeight="1" x14ac:dyDescent="0.25"/>
    <row r="504" customFormat="1" ht="15.75" customHeight="1" x14ac:dyDescent="0.25"/>
    <row r="505" customFormat="1" ht="15.75" customHeight="1" x14ac:dyDescent="0.25"/>
    <row r="506" customFormat="1" ht="15.75" customHeight="1" x14ac:dyDescent="0.25"/>
    <row r="507" customFormat="1" ht="15.75" customHeight="1" x14ac:dyDescent="0.25"/>
    <row r="508" customFormat="1" ht="15.75" customHeight="1" x14ac:dyDescent="0.25"/>
    <row r="509" customFormat="1" ht="15.75" customHeight="1" x14ac:dyDescent="0.25"/>
    <row r="510" customFormat="1" ht="15.75" customHeight="1" x14ac:dyDescent="0.25"/>
    <row r="511" customFormat="1" ht="15.75" customHeight="1" x14ac:dyDescent="0.25"/>
    <row r="512" customFormat="1" ht="15.75" customHeight="1" x14ac:dyDescent="0.25"/>
    <row r="513" customFormat="1" ht="15.75" customHeight="1" x14ac:dyDescent="0.25"/>
    <row r="514" customFormat="1" ht="15.75" customHeight="1" x14ac:dyDescent="0.25"/>
    <row r="515" customFormat="1" ht="15.75" customHeight="1" x14ac:dyDescent="0.25"/>
    <row r="516" customFormat="1" ht="15.75" customHeight="1" x14ac:dyDescent="0.25"/>
    <row r="517" customFormat="1" ht="15.75" customHeight="1" x14ac:dyDescent="0.25"/>
    <row r="518" customFormat="1" ht="15.75" customHeight="1" x14ac:dyDescent="0.25"/>
    <row r="519" customFormat="1" ht="15.75" customHeight="1" x14ac:dyDescent="0.25"/>
    <row r="520" customFormat="1" ht="15.75" customHeight="1" x14ac:dyDescent="0.25"/>
    <row r="521" customFormat="1" ht="15.75" customHeight="1" x14ac:dyDescent="0.25"/>
    <row r="522" customFormat="1" ht="15.75" customHeight="1" x14ac:dyDescent="0.25"/>
    <row r="523" customFormat="1" ht="15.75" customHeight="1" x14ac:dyDescent="0.25"/>
    <row r="524" customFormat="1" ht="15.75" customHeight="1" x14ac:dyDescent="0.25"/>
    <row r="525" customFormat="1" ht="15.75" customHeight="1" x14ac:dyDescent="0.25"/>
    <row r="526" customFormat="1" ht="15.75" customHeight="1" x14ac:dyDescent="0.25"/>
    <row r="527" customFormat="1" ht="15.75" customHeight="1" x14ac:dyDescent="0.25"/>
    <row r="528" customFormat="1" ht="15.75" customHeight="1" x14ac:dyDescent="0.25"/>
    <row r="529" customFormat="1" ht="15.75" customHeight="1" x14ac:dyDescent="0.25"/>
    <row r="530" customFormat="1" ht="15.75" customHeight="1" x14ac:dyDescent="0.25"/>
    <row r="531" customFormat="1" ht="15.75" customHeight="1" x14ac:dyDescent="0.25"/>
    <row r="532" customFormat="1" ht="15.75" customHeight="1" x14ac:dyDescent="0.25"/>
    <row r="533" customFormat="1" ht="15.75" customHeight="1" x14ac:dyDescent="0.25"/>
    <row r="534" customFormat="1" ht="15.75" customHeight="1" x14ac:dyDescent="0.25"/>
    <row r="535" customFormat="1" ht="15.75" customHeight="1" x14ac:dyDescent="0.25"/>
    <row r="536" customFormat="1" ht="15.75" customHeight="1" x14ac:dyDescent="0.25"/>
    <row r="537" customFormat="1" ht="15.75" customHeight="1" x14ac:dyDescent="0.25"/>
    <row r="538" customFormat="1" ht="15.75" customHeight="1" x14ac:dyDescent="0.25"/>
    <row r="539" customFormat="1" ht="15.75" customHeight="1" x14ac:dyDescent="0.25"/>
    <row r="540" customFormat="1" ht="15.75" customHeight="1" x14ac:dyDescent="0.25"/>
    <row r="541" customFormat="1" ht="15.75" customHeight="1" x14ac:dyDescent="0.25"/>
    <row r="542" customFormat="1" ht="15.75" customHeight="1" x14ac:dyDescent="0.25"/>
    <row r="543" customFormat="1" ht="15.75" customHeight="1" x14ac:dyDescent="0.25"/>
    <row r="544" customFormat="1" ht="15.75" customHeight="1" x14ac:dyDescent="0.25"/>
    <row r="545" customFormat="1" ht="15.75" customHeight="1" x14ac:dyDescent="0.25"/>
    <row r="546" customFormat="1" ht="15.75" customHeight="1" x14ac:dyDescent="0.25"/>
    <row r="547" customFormat="1" ht="15.75" customHeight="1" x14ac:dyDescent="0.25"/>
    <row r="548" customFormat="1" ht="15.75" customHeight="1" x14ac:dyDescent="0.25"/>
    <row r="549" customFormat="1" ht="15.75" customHeight="1" x14ac:dyDescent="0.25"/>
    <row r="550" customFormat="1" ht="15.75" customHeight="1" x14ac:dyDescent="0.25"/>
    <row r="551" customFormat="1" ht="15.75" customHeight="1" x14ac:dyDescent="0.25"/>
    <row r="552" customFormat="1" ht="15.75" customHeight="1" x14ac:dyDescent="0.25"/>
    <row r="553" customFormat="1" ht="15.75" customHeight="1" x14ac:dyDescent="0.25"/>
    <row r="554" customFormat="1" ht="15.75" customHeight="1" x14ac:dyDescent="0.25"/>
    <row r="555" customFormat="1" ht="15.75" customHeight="1" x14ac:dyDescent="0.25"/>
    <row r="556" customFormat="1" ht="15.75" customHeight="1" x14ac:dyDescent="0.25"/>
    <row r="557" customFormat="1" ht="15.75" customHeight="1" x14ac:dyDescent="0.25"/>
    <row r="558" customFormat="1" ht="15.75" customHeight="1" x14ac:dyDescent="0.25"/>
    <row r="559" customFormat="1" ht="15.75" customHeight="1" x14ac:dyDescent="0.25"/>
    <row r="560" customFormat="1" ht="15.75" customHeight="1" x14ac:dyDescent="0.25"/>
    <row r="561" customFormat="1" ht="15.75" customHeight="1" x14ac:dyDescent="0.25"/>
    <row r="562" customFormat="1" ht="15.75" customHeight="1" x14ac:dyDescent="0.25"/>
    <row r="563" customFormat="1" ht="15.75" customHeight="1" x14ac:dyDescent="0.25"/>
    <row r="564" customFormat="1" ht="15.75" customHeight="1" x14ac:dyDescent="0.25"/>
    <row r="565" customFormat="1" ht="15.75" customHeight="1" x14ac:dyDescent="0.25"/>
    <row r="566" customFormat="1" ht="15.75" customHeight="1" x14ac:dyDescent="0.25"/>
    <row r="567" customFormat="1" ht="15.75" customHeight="1" x14ac:dyDescent="0.25"/>
    <row r="568" customFormat="1" ht="15.75" customHeight="1" x14ac:dyDescent="0.25"/>
    <row r="569" customFormat="1" ht="15.75" customHeight="1" x14ac:dyDescent="0.25"/>
    <row r="570" customFormat="1" ht="15.75" customHeight="1" x14ac:dyDescent="0.25"/>
    <row r="571" customFormat="1" ht="15.75" customHeight="1" x14ac:dyDescent="0.25"/>
    <row r="572" customFormat="1" ht="15.75" customHeight="1" x14ac:dyDescent="0.25"/>
    <row r="573" customFormat="1" ht="15.75" customHeight="1" x14ac:dyDescent="0.25"/>
    <row r="574" customFormat="1" ht="15.75" customHeight="1" x14ac:dyDescent="0.25"/>
    <row r="575" customFormat="1" ht="15.75" customHeight="1" x14ac:dyDescent="0.25"/>
    <row r="576" customFormat="1" ht="15.75" customHeight="1" x14ac:dyDescent="0.25"/>
    <row r="577" customFormat="1" ht="15.75" customHeight="1" x14ac:dyDescent="0.25"/>
    <row r="578" customFormat="1" ht="15.75" customHeight="1" x14ac:dyDescent="0.25"/>
    <row r="579" customFormat="1" ht="15.75" customHeight="1" x14ac:dyDescent="0.25"/>
    <row r="580" customFormat="1" ht="15.75" customHeight="1" x14ac:dyDescent="0.25"/>
    <row r="581" customFormat="1" ht="15.75" customHeight="1" x14ac:dyDescent="0.25"/>
    <row r="582" customFormat="1" ht="15.75" customHeight="1" x14ac:dyDescent="0.25"/>
    <row r="583" customFormat="1" ht="15.75" customHeight="1" x14ac:dyDescent="0.25"/>
    <row r="584" customFormat="1" ht="15.75" customHeight="1" x14ac:dyDescent="0.25"/>
    <row r="585" customFormat="1" ht="15.75" customHeight="1" x14ac:dyDescent="0.25"/>
    <row r="586" customFormat="1" ht="15.75" customHeight="1" x14ac:dyDescent="0.25"/>
    <row r="587" customFormat="1" ht="15.75" customHeight="1" x14ac:dyDescent="0.25"/>
    <row r="588" customFormat="1" ht="15.75" customHeight="1" x14ac:dyDescent="0.25"/>
    <row r="589" customFormat="1" ht="15.75" customHeight="1" x14ac:dyDescent="0.25"/>
    <row r="590" customFormat="1" ht="15.75" customHeight="1" x14ac:dyDescent="0.25"/>
    <row r="591" customFormat="1" ht="15.75" customHeight="1" x14ac:dyDescent="0.25"/>
    <row r="592" customFormat="1" ht="15.75" customHeight="1" x14ac:dyDescent="0.25"/>
    <row r="593" customFormat="1" ht="15.75" customHeight="1" x14ac:dyDescent="0.25"/>
    <row r="594" customFormat="1" ht="15.75" customHeight="1" x14ac:dyDescent="0.25"/>
    <row r="595" customFormat="1" ht="15.75" customHeight="1" x14ac:dyDescent="0.25"/>
    <row r="596" customFormat="1" ht="15.75" customHeight="1" x14ac:dyDescent="0.25"/>
    <row r="597" customFormat="1" ht="15.75" customHeight="1" x14ac:dyDescent="0.25"/>
    <row r="598" customFormat="1" ht="15.75" customHeight="1" x14ac:dyDescent="0.25"/>
    <row r="599" customFormat="1" ht="15.75" customHeight="1" x14ac:dyDescent="0.25"/>
    <row r="600" customFormat="1" ht="15.75" customHeight="1" x14ac:dyDescent="0.25"/>
    <row r="601" customFormat="1" ht="15.75" customHeight="1" x14ac:dyDescent="0.25"/>
    <row r="602" customFormat="1" ht="15.75" customHeight="1" x14ac:dyDescent="0.25"/>
    <row r="603" customFormat="1" ht="15.75" customHeight="1" x14ac:dyDescent="0.25"/>
    <row r="604" customFormat="1" ht="15.75" customHeight="1" x14ac:dyDescent="0.25"/>
    <row r="605" customFormat="1" ht="15.75" customHeight="1" x14ac:dyDescent="0.25"/>
    <row r="606" customFormat="1" ht="15.75" customHeight="1" x14ac:dyDescent="0.25"/>
    <row r="607" customFormat="1" ht="15.75" customHeight="1" x14ac:dyDescent="0.25"/>
    <row r="608" customFormat="1" ht="15.75" customHeight="1" x14ac:dyDescent="0.25"/>
    <row r="609" customFormat="1" ht="15.75" customHeight="1" x14ac:dyDescent="0.25"/>
    <row r="610" customFormat="1" ht="15.75" customHeight="1" x14ac:dyDescent="0.25"/>
    <row r="611" customFormat="1" ht="15.75" customHeight="1" x14ac:dyDescent="0.25"/>
    <row r="612" customFormat="1" ht="15.75" customHeight="1" x14ac:dyDescent="0.25"/>
    <row r="613" customFormat="1" ht="15.75" customHeight="1" x14ac:dyDescent="0.25"/>
    <row r="614" customFormat="1" ht="15.75" customHeight="1" x14ac:dyDescent="0.25"/>
    <row r="615" customFormat="1" ht="15.75" customHeight="1" x14ac:dyDescent="0.25"/>
    <row r="616" customFormat="1" ht="15.75" customHeight="1" x14ac:dyDescent="0.25"/>
    <row r="617" customFormat="1" ht="15.75" customHeight="1" x14ac:dyDescent="0.25"/>
    <row r="618" customFormat="1" ht="15.75" customHeight="1" x14ac:dyDescent="0.25"/>
    <row r="619" customFormat="1" ht="15.75" customHeight="1" x14ac:dyDescent="0.25"/>
    <row r="620" customFormat="1" ht="15.75" customHeight="1" x14ac:dyDescent="0.25"/>
    <row r="621" customFormat="1" ht="15.75" customHeight="1" x14ac:dyDescent="0.25"/>
    <row r="622" customFormat="1" ht="15.75" customHeight="1" x14ac:dyDescent="0.25"/>
    <row r="623" customFormat="1" ht="15.75" customHeight="1" x14ac:dyDescent="0.25"/>
    <row r="624" customFormat="1" ht="15.75" customHeight="1" x14ac:dyDescent="0.25"/>
    <row r="625" customFormat="1" ht="15.75" customHeight="1" x14ac:dyDescent="0.25"/>
    <row r="626" customFormat="1" ht="15.75" customHeight="1" x14ac:dyDescent="0.25"/>
    <row r="627" customFormat="1" ht="15.75" customHeight="1" x14ac:dyDescent="0.25"/>
    <row r="628" customFormat="1" ht="15.75" customHeight="1" x14ac:dyDescent="0.25"/>
    <row r="629" customFormat="1" ht="15.75" customHeight="1" x14ac:dyDescent="0.25"/>
    <row r="630" customFormat="1" ht="15.75" customHeight="1" x14ac:dyDescent="0.25"/>
    <row r="631" customFormat="1" ht="15.75" customHeight="1" x14ac:dyDescent="0.25"/>
    <row r="632" customFormat="1" ht="15.75" customHeight="1" x14ac:dyDescent="0.25"/>
    <row r="633" customFormat="1" ht="15.75" customHeight="1" x14ac:dyDescent="0.25"/>
    <row r="634" customFormat="1" ht="15.75" customHeight="1" x14ac:dyDescent="0.25"/>
    <row r="635" customFormat="1" ht="15.75" customHeight="1" x14ac:dyDescent="0.25"/>
    <row r="636" customFormat="1" ht="15.75" customHeight="1" x14ac:dyDescent="0.25"/>
    <row r="637" customFormat="1" ht="15.75" customHeight="1" x14ac:dyDescent="0.25"/>
    <row r="638" customFormat="1" ht="15.75" customHeight="1" x14ac:dyDescent="0.25"/>
    <row r="639" customFormat="1" ht="15.75" customHeight="1" x14ac:dyDescent="0.25"/>
    <row r="640" customFormat="1" ht="15.75" customHeight="1" x14ac:dyDescent="0.25"/>
    <row r="641" customFormat="1" ht="15.75" customHeight="1" x14ac:dyDescent="0.25"/>
    <row r="642" customFormat="1" ht="15.75" customHeight="1" x14ac:dyDescent="0.25"/>
    <row r="643" customFormat="1" ht="15.75" customHeight="1" x14ac:dyDescent="0.25"/>
    <row r="644" customFormat="1" ht="15.75" customHeight="1" x14ac:dyDescent="0.25"/>
    <row r="645" customFormat="1" ht="15.75" customHeight="1" x14ac:dyDescent="0.25"/>
    <row r="646" customFormat="1" ht="15.75" customHeight="1" x14ac:dyDescent="0.25"/>
    <row r="647" customFormat="1" ht="15.75" customHeight="1" x14ac:dyDescent="0.25"/>
    <row r="648" customFormat="1" ht="15.75" customHeight="1" x14ac:dyDescent="0.25"/>
    <row r="649" customFormat="1" ht="15.75" customHeight="1" x14ac:dyDescent="0.25"/>
    <row r="650" customFormat="1" ht="15.75" customHeight="1" x14ac:dyDescent="0.25"/>
    <row r="651" customFormat="1" ht="15.75" customHeight="1" x14ac:dyDescent="0.25"/>
    <row r="652" customFormat="1" ht="15.75" customHeight="1" x14ac:dyDescent="0.25"/>
    <row r="653" customFormat="1" ht="15.75" customHeight="1" x14ac:dyDescent="0.25"/>
    <row r="654" customFormat="1" ht="15.75" customHeight="1" x14ac:dyDescent="0.25"/>
    <row r="655" customFormat="1" ht="15.75" customHeight="1" x14ac:dyDescent="0.25"/>
    <row r="656" customFormat="1" ht="15.75" customHeight="1" x14ac:dyDescent="0.25"/>
    <row r="657" customFormat="1" ht="15.75" customHeight="1" x14ac:dyDescent="0.25"/>
    <row r="658" customFormat="1" ht="15.75" customHeight="1" x14ac:dyDescent="0.25"/>
    <row r="659" customFormat="1" ht="15.75" customHeight="1" x14ac:dyDescent="0.25"/>
    <row r="660" customFormat="1" ht="15.75" customHeight="1" x14ac:dyDescent="0.25"/>
    <row r="661" customFormat="1" ht="15.75" customHeight="1" x14ac:dyDescent="0.25"/>
    <row r="662" customFormat="1" ht="15.75" customHeight="1" x14ac:dyDescent="0.25"/>
    <row r="663" customFormat="1" ht="15.75" customHeight="1" x14ac:dyDescent="0.25"/>
    <row r="664" customFormat="1" ht="15.75" customHeight="1" x14ac:dyDescent="0.25"/>
    <row r="665" customFormat="1" ht="15.75" customHeight="1" x14ac:dyDescent="0.25"/>
    <row r="666" customFormat="1" ht="15.75" customHeight="1" x14ac:dyDescent="0.25"/>
    <row r="667" customFormat="1" ht="15.75" customHeight="1" x14ac:dyDescent="0.25"/>
    <row r="668" customFormat="1" ht="15.75" customHeight="1" x14ac:dyDescent="0.25"/>
    <row r="669" customFormat="1" ht="15.75" customHeight="1" x14ac:dyDescent="0.25"/>
    <row r="670" customFormat="1" ht="15.75" customHeight="1" x14ac:dyDescent="0.25"/>
    <row r="671" customFormat="1" ht="15.75" customHeight="1" x14ac:dyDescent="0.25"/>
    <row r="672" customFormat="1" ht="15.75" customHeight="1" x14ac:dyDescent="0.25"/>
    <row r="673" customFormat="1" ht="15.75" customHeight="1" x14ac:dyDescent="0.25"/>
    <row r="674" customFormat="1" ht="15.75" customHeight="1" x14ac:dyDescent="0.25"/>
    <row r="675" customFormat="1" ht="15.75" customHeight="1" x14ac:dyDescent="0.25"/>
    <row r="676" customFormat="1" ht="15.75" customHeight="1" x14ac:dyDescent="0.25"/>
    <row r="677" customFormat="1" ht="15.75" customHeight="1" x14ac:dyDescent="0.25"/>
    <row r="678" customFormat="1" ht="15.75" customHeight="1" x14ac:dyDescent="0.25"/>
    <row r="679" customFormat="1" ht="15.75" customHeight="1" x14ac:dyDescent="0.25"/>
    <row r="680" customFormat="1" ht="15.75" customHeight="1" x14ac:dyDescent="0.25"/>
    <row r="681" customFormat="1" ht="15.75" customHeight="1" x14ac:dyDescent="0.25"/>
    <row r="682" customFormat="1" ht="15.75" customHeight="1" x14ac:dyDescent="0.25"/>
    <row r="683" customFormat="1" ht="15.75" customHeight="1" x14ac:dyDescent="0.25"/>
    <row r="684" customFormat="1" ht="15.75" customHeight="1" x14ac:dyDescent="0.25"/>
    <row r="685" customFormat="1" ht="15.75" customHeight="1" x14ac:dyDescent="0.25"/>
    <row r="686" customFormat="1" ht="15.75" customHeight="1" x14ac:dyDescent="0.25"/>
    <row r="687" customFormat="1" ht="15.75" customHeight="1" x14ac:dyDescent="0.25"/>
    <row r="688" customFormat="1" ht="15.75" customHeight="1" x14ac:dyDescent="0.25"/>
    <row r="689" customFormat="1" ht="15.75" customHeight="1" x14ac:dyDescent="0.25"/>
    <row r="690" customFormat="1" ht="15.75" customHeight="1" x14ac:dyDescent="0.25"/>
    <row r="691" customFormat="1" ht="15.75" customHeight="1" x14ac:dyDescent="0.25"/>
    <row r="692" customFormat="1" ht="15.75" customHeight="1" x14ac:dyDescent="0.25"/>
    <row r="693" customFormat="1" ht="15.75" customHeight="1" x14ac:dyDescent="0.25"/>
    <row r="694" customFormat="1" ht="15.75" customHeight="1" x14ac:dyDescent="0.25"/>
    <row r="695" customFormat="1" ht="15.75" customHeight="1" x14ac:dyDescent="0.25"/>
    <row r="696" customFormat="1" ht="15.75" customHeight="1" x14ac:dyDescent="0.25"/>
    <row r="697" customFormat="1" ht="15.75" customHeight="1" x14ac:dyDescent="0.25"/>
    <row r="698" customFormat="1" ht="15.75" customHeight="1" x14ac:dyDescent="0.25"/>
    <row r="699" customFormat="1" ht="15.75" customHeight="1" x14ac:dyDescent="0.25"/>
    <row r="700" customFormat="1" ht="15.75" customHeight="1" x14ac:dyDescent="0.25"/>
    <row r="701" customFormat="1" ht="15.75" customHeight="1" x14ac:dyDescent="0.25"/>
    <row r="702" customFormat="1" ht="15.75" customHeight="1" x14ac:dyDescent="0.25"/>
    <row r="703" customFormat="1" ht="15.75" customHeight="1" x14ac:dyDescent="0.25"/>
    <row r="704" customFormat="1" ht="15.75" customHeight="1" x14ac:dyDescent="0.25"/>
    <row r="705" customFormat="1" ht="15.75" customHeight="1" x14ac:dyDescent="0.25"/>
    <row r="706" customFormat="1" ht="15.75" customHeight="1" x14ac:dyDescent="0.25"/>
    <row r="707" customFormat="1" ht="15.75" customHeight="1" x14ac:dyDescent="0.25"/>
    <row r="708" customFormat="1" ht="15.75" customHeight="1" x14ac:dyDescent="0.25"/>
    <row r="709" customFormat="1" ht="15.75" customHeight="1" x14ac:dyDescent="0.25"/>
    <row r="710" customFormat="1" ht="15.75" customHeight="1" x14ac:dyDescent="0.25"/>
    <row r="711" customFormat="1" ht="15.75" customHeight="1" x14ac:dyDescent="0.25"/>
    <row r="712" customFormat="1" ht="15.75" customHeight="1" x14ac:dyDescent="0.25"/>
    <row r="713" customFormat="1" ht="15.75" customHeight="1" x14ac:dyDescent="0.25"/>
    <row r="714" customFormat="1" ht="15.75" customHeight="1" x14ac:dyDescent="0.25"/>
    <row r="715" customFormat="1" ht="15.75" customHeight="1" x14ac:dyDescent="0.25"/>
    <row r="716" customFormat="1" ht="15.75" customHeight="1" x14ac:dyDescent="0.25"/>
    <row r="717" customFormat="1" ht="15.75" customHeight="1" x14ac:dyDescent="0.25"/>
    <row r="718" customFormat="1" ht="15.75" customHeight="1" x14ac:dyDescent="0.25"/>
    <row r="719" customFormat="1" ht="15.75" customHeight="1" x14ac:dyDescent="0.25"/>
    <row r="720" customFormat="1" ht="15.75" customHeight="1" x14ac:dyDescent="0.25"/>
    <row r="721" customFormat="1" ht="15.75" customHeight="1" x14ac:dyDescent="0.25"/>
    <row r="722" customFormat="1" ht="15.75" customHeight="1" x14ac:dyDescent="0.25"/>
    <row r="723" customFormat="1" ht="15.75" customHeight="1" x14ac:dyDescent="0.25"/>
    <row r="724" customFormat="1" ht="15.75" customHeight="1" x14ac:dyDescent="0.25"/>
    <row r="725" customFormat="1" ht="15.75" customHeight="1" x14ac:dyDescent="0.25"/>
    <row r="726" customFormat="1" ht="15.75" customHeight="1" x14ac:dyDescent="0.25"/>
    <row r="727" customFormat="1" ht="15.75" customHeight="1" x14ac:dyDescent="0.25"/>
    <row r="728" customFormat="1" ht="15.75" customHeight="1" x14ac:dyDescent="0.25"/>
    <row r="729" customFormat="1" ht="15.75" customHeight="1" x14ac:dyDescent="0.25"/>
    <row r="730" customFormat="1" ht="15.75" customHeight="1" x14ac:dyDescent="0.25"/>
    <row r="731" customFormat="1" ht="15.75" customHeight="1" x14ac:dyDescent="0.25"/>
    <row r="732" customFormat="1" ht="15.75" customHeight="1" x14ac:dyDescent="0.25"/>
    <row r="733" customFormat="1" ht="15.75" customHeight="1" x14ac:dyDescent="0.25"/>
    <row r="734" customFormat="1" ht="15.75" customHeight="1" x14ac:dyDescent="0.25"/>
    <row r="735" customFormat="1" ht="15.75" customHeight="1" x14ac:dyDescent="0.25"/>
    <row r="736" customFormat="1" ht="15.75" customHeight="1" x14ac:dyDescent="0.25"/>
    <row r="737" customFormat="1" ht="15.75" customHeight="1" x14ac:dyDescent="0.25"/>
    <row r="738" customFormat="1" ht="15.75" customHeight="1" x14ac:dyDescent="0.25"/>
    <row r="739" customFormat="1" ht="15.75" customHeight="1" x14ac:dyDescent="0.25"/>
    <row r="740" customFormat="1" ht="15.75" customHeight="1" x14ac:dyDescent="0.25"/>
    <row r="741" customFormat="1" ht="15.75" customHeight="1" x14ac:dyDescent="0.25"/>
    <row r="742" customFormat="1" ht="15.75" customHeight="1" x14ac:dyDescent="0.25"/>
    <row r="743" customFormat="1" ht="15.75" customHeight="1" x14ac:dyDescent="0.25"/>
    <row r="744" customFormat="1" ht="15.75" customHeight="1" x14ac:dyDescent="0.25"/>
    <row r="745" customFormat="1" ht="15.75" customHeight="1" x14ac:dyDescent="0.25"/>
    <row r="746" customFormat="1" ht="15.75" customHeight="1" x14ac:dyDescent="0.25"/>
    <row r="747" customFormat="1" ht="15.75" customHeight="1" x14ac:dyDescent="0.25"/>
    <row r="748" customFormat="1" ht="15.75" customHeight="1" x14ac:dyDescent="0.25"/>
    <row r="749" customFormat="1" ht="15.75" customHeight="1" x14ac:dyDescent="0.25"/>
    <row r="750" customFormat="1" ht="15.75" customHeight="1" x14ac:dyDescent="0.25"/>
    <row r="751" customFormat="1" ht="15.75" customHeight="1" x14ac:dyDescent="0.25"/>
    <row r="752" customFormat="1" ht="15.75" customHeight="1" x14ac:dyDescent="0.25"/>
    <row r="753" customFormat="1" ht="15.75" customHeight="1" x14ac:dyDescent="0.25"/>
    <row r="754" customFormat="1" ht="15.75" customHeight="1" x14ac:dyDescent="0.25"/>
    <row r="755" customFormat="1" ht="15.75" customHeight="1" x14ac:dyDescent="0.25"/>
    <row r="756" customFormat="1" ht="15.75" customHeight="1" x14ac:dyDescent="0.25"/>
    <row r="757" customFormat="1" ht="15.75" customHeight="1" x14ac:dyDescent="0.25"/>
    <row r="758" customFormat="1" ht="15.75" customHeight="1" x14ac:dyDescent="0.25"/>
    <row r="759" customFormat="1" ht="15.75" customHeight="1" x14ac:dyDescent="0.25"/>
    <row r="760" customFormat="1" ht="15.75" customHeight="1" x14ac:dyDescent="0.25"/>
    <row r="761" customFormat="1" ht="15.75" customHeight="1" x14ac:dyDescent="0.25"/>
    <row r="762" customFormat="1" ht="15.75" customHeight="1" x14ac:dyDescent="0.25"/>
    <row r="763" customFormat="1" ht="15.75" customHeight="1" x14ac:dyDescent="0.25"/>
    <row r="764" customFormat="1" ht="15.75" customHeight="1" x14ac:dyDescent="0.25"/>
    <row r="765" customFormat="1" ht="15.75" customHeight="1" x14ac:dyDescent="0.25"/>
    <row r="766" customFormat="1" ht="15.75" customHeight="1" x14ac:dyDescent="0.25"/>
    <row r="767" customFormat="1" ht="15.75" customHeight="1" x14ac:dyDescent="0.25"/>
    <row r="768" customFormat="1" ht="15.75" customHeight="1" x14ac:dyDescent="0.25"/>
    <row r="769" customFormat="1" ht="15.75" customHeight="1" x14ac:dyDescent="0.25"/>
    <row r="770" customFormat="1" ht="15.75" customHeight="1" x14ac:dyDescent="0.25"/>
    <row r="771" customFormat="1" ht="15.75" customHeight="1" x14ac:dyDescent="0.25"/>
    <row r="772" customFormat="1" ht="15.75" customHeight="1" x14ac:dyDescent="0.25"/>
    <row r="773" customFormat="1" ht="15.75" customHeight="1" x14ac:dyDescent="0.25"/>
    <row r="774" customFormat="1" ht="15.75" customHeight="1" x14ac:dyDescent="0.25"/>
    <row r="775" customFormat="1" ht="15.75" customHeight="1" x14ac:dyDescent="0.25"/>
    <row r="776" customFormat="1" ht="15.75" customHeight="1" x14ac:dyDescent="0.25"/>
    <row r="777" customFormat="1" ht="15.75" customHeight="1" x14ac:dyDescent="0.25"/>
    <row r="778" customFormat="1" ht="15.75" customHeight="1" x14ac:dyDescent="0.25"/>
    <row r="779" customFormat="1" ht="15.75" customHeight="1" x14ac:dyDescent="0.25"/>
    <row r="780" customFormat="1" ht="15.75" customHeight="1" x14ac:dyDescent="0.25"/>
    <row r="781" customFormat="1" ht="15.75" customHeight="1" x14ac:dyDescent="0.25"/>
    <row r="782" customFormat="1" ht="15.75" customHeight="1" x14ac:dyDescent="0.25"/>
    <row r="783" customFormat="1" ht="15.75" customHeight="1" x14ac:dyDescent="0.25"/>
    <row r="784" customFormat="1" ht="15.75" customHeight="1" x14ac:dyDescent="0.25"/>
    <row r="785" customFormat="1" ht="15.75" customHeight="1" x14ac:dyDescent="0.25"/>
    <row r="786" customFormat="1" ht="15.75" customHeight="1" x14ac:dyDescent="0.25"/>
    <row r="787" customFormat="1" ht="15.75" customHeight="1" x14ac:dyDescent="0.25"/>
    <row r="788" customFormat="1" ht="15.75" customHeight="1" x14ac:dyDescent="0.25"/>
    <row r="789" customFormat="1" ht="15.75" customHeight="1" x14ac:dyDescent="0.25"/>
    <row r="790" customFormat="1" ht="15.75" customHeight="1" x14ac:dyDescent="0.25"/>
    <row r="791" customFormat="1" ht="15.75" customHeight="1" x14ac:dyDescent="0.25"/>
    <row r="792" customFormat="1" ht="15.75" customHeight="1" x14ac:dyDescent="0.25"/>
    <row r="793" customFormat="1" ht="15.75" customHeight="1" x14ac:dyDescent="0.25"/>
    <row r="794" customFormat="1" ht="15.75" customHeight="1" x14ac:dyDescent="0.25"/>
    <row r="795" customFormat="1" ht="15.75" customHeight="1" x14ac:dyDescent="0.25"/>
    <row r="796" customFormat="1" ht="15.75" customHeight="1" x14ac:dyDescent="0.25"/>
    <row r="797" customFormat="1" ht="15.75" customHeight="1" x14ac:dyDescent="0.25"/>
    <row r="798" customFormat="1" ht="15.75" customHeight="1" x14ac:dyDescent="0.25"/>
    <row r="799" customFormat="1" ht="15.75" customHeight="1" x14ac:dyDescent="0.25"/>
    <row r="800" customFormat="1" ht="15.75" customHeight="1" x14ac:dyDescent="0.25"/>
    <row r="801" customFormat="1" ht="15.75" customHeight="1" x14ac:dyDescent="0.25"/>
    <row r="802" customFormat="1" ht="15.75" customHeight="1" x14ac:dyDescent="0.25"/>
    <row r="803" customFormat="1" ht="15.75" customHeight="1" x14ac:dyDescent="0.25"/>
    <row r="804" customFormat="1" ht="15.75" customHeight="1" x14ac:dyDescent="0.25"/>
    <row r="805" customFormat="1" ht="15.75" customHeight="1" x14ac:dyDescent="0.25"/>
    <row r="806" customFormat="1" ht="15.75" customHeight="1" x14ac:dyDescent="0.25"/>
    <row r="807" customFormat="1" ht="15.75" customHeight="1" x14ac:dyDescent="0.25"/>
    <row r="808" customFormat="1" ht="15.75" customHeight="1" x14ac:dyDescent="0.25"/>
    <row r="809" customFormat="1" ht="15.75" customHeight="1" x14ac:dyDescent="0.25"/>
    <row r="810" customFormat="1" ht="15.75" customHeight="1" x14ac:dyDescent="0.25"/>
    <row r="811" customFormat="1" ht="15.75" customHeight="1" x14ac:dyDescent="0.25"/>
    <row r="812" customFormat="1" ht="15.75" customHeight="1" x14ac:dyDescent="0.25"/>
    <row r="813" customFormat="1" ht="15.75" customHeight="1" x14ac:dyDescent="0.25"/>
    <row r="814" customFormat="1" ht="15.75" customHeight="1" x14ac:dyDescent="0.25"/>
    <row r="815" customFormat="1" ht="15.75" customHeight="1" x14ac:dyDescent="0.25"/>
    <row r="816" customFormat="1" ht="15.75" customHeight="1" x14ac:dyDescent="0.25"/>
    <row r="817" customFormat="1" ht="15.75" customHeight="1" x14ac:dyDescent="0.25"/>
    <row r="818" customFormat="1" ht="15.75" customHeight="1" x14ac:dyDescent="0.25"/>
    <row r="819" customFormat="1" ht="15.75" customHeight="1" x14ac:dyDescent="0.25"/>
    <row r="820" customFormat="1" ht="15.75" customHeight="1" x14ac:dyDescent="0.25"/>
    <row r="821" customFormat="1" ht="15.75" customHeight="1" x14ac:dyDescent="0.25"/>
    <row r="822" customFormat="1" ht="15.75" customHeight="1" x14ac:dyDescent="0.25"/>
    <row r="823" customFormat="1" ht="15.75" customHeight="1" x14ac:dyDescent="0.25"/>
    <row r="824" customFormat="1" ht="15.75" customHeight="1" x14ac:dyDescent="0.25"/>
    <row r="825" customFormat="1" ht="15.75" customHeight="1" x14ac:dyDescent="0.25"/>
    <row r="826" customFormat="1" ht="15.75" customHeight="1" x14ac:dyDescent="0.25"/>
    <row r="827" customFormat="1" ht="15.75" customHeight="1" x14ac:dyDescent="0.25"/>
    <row r="828" customFormat="1" ht="15.75" customHeight="1" x14ac:dyDescent="0.25"/>
    <row r="829" customFormat="1" ht="15.75" customHeight="1" x14ac:dyDescent="0.25"/>
    <row r="830" customFormat="1" ht="15.75" customHeight="1" x14ac:dyDescent="0.25"/>
    <row r="831" customFormat="1" ht="15.75" customHeight="1" x14ac:dyDescent="0.25"/>
    <row r="832" customFormat="1" ht="15.75" customHeight="1" x14ac:dyDescent="0.25"/>
    <row r="833" customFormat="1" ht="15.75" customHeight="1" x14ac:dyDescent="0.25"/>
    <row r="834" customFormat="1" ht="15.75" customHeight="1" x14ac:dyDescent="0.25"/>
    <row r="835" customFormat="1" ht="15.75" customHeight="1" x14ac:dyDescent="0.25"/>
    <row r="836" customFormat="1" ht="15.75" customHeight="1" x14ac:dyDescent="0.25"/>
    <row r="837" customFormat="1" ht="15.75" customHeight="1" x14ac:dyDescent="0.25"/>
    <row r="838" customFormat="1" ht="15.75" customHeight="1" x14ac:dyDescent="0.25"/>
    <row r="839" customFormat="1" ht="15.75" customHeight="1" x14ac:dyDescent="0.25"/>
    <row r="840" customFormat="1" ht="15.75" customHeight="1" x14ac:dyDescent="0.25"/>
    <row r="841" customFormat="1" ht="15.75" customHeight="1" x14ac:dyDescent="0.25"/>
    <row r="842" customFormat="1" ht="15.75" customHeight="1" x14ac:dyDescent="0.25"/>
    <row r="843" customFormat="1" ht="15.75" customHeight="1" x14ac:dyDescent="0.25"/>
    <row r="844" customFormat="1" ht="15.75" customHeight="1" x14ac:dyDescent="0.25"/>
    <row r="845" customFormat="1" ht="15.75" customHeight="1" x14ac:dyDescent="0.25"/>
    <row r="846" customFormat="1" ht="15.75" customHeight="1" x14ac:dyDescent="0.25"/>
    <row r="847" customFormat="1" ht="15.75" customHeight="1" x14ac:dyDescent="0.25"/>
    <row r="848" customFormat="1" ht="15.75" customHeight="1" x14ac:dyDescent="0.25"/>
    <row r="849" customFormat="1" ht="15.75" customHeight="1" x14ac:dyDescent="0.25"/>
    <row r="850" customFormat="1" ht="15.75" customHeight="1" x14ac:dyDescent="0.25"/>
    <row r="851" customFormat="1" ht="15.75" customHeight="1" x14ac:dyDescent="0.25"/>
    <row r="852" customFormat="1" ht="15.75" customHeight="1" x14ac:dyDescent="0.25"/>
    <row r="853" customFormat="1" ht="15.75" customHeight="1" x14ac:dyDescent="0.25"/>
    <row r="854" customFormat="1" ht="15.75" customHeight="1" x14ac:dyDescent="0.25"/>
    <row r="855" customFormat="1" ht="15.75" customHeight="1" x14ac:dyDescent="0.25"/>
    <row r="856" customFormat="1" ht="15.75" customHeight="1" x14ac:dyDescent="0.25"/>
    <row r="857" customFormat="1" ht="15.75" customHeight="1" x14ac:dyDescent="0.25"/>
    <row r="858" customFormat="1" ht="15.75" customHeight="1" x14ac:dyDescent="0.25"/>
    <row r="859" customFormat="1" ht="15.75" customHeight="1" x14ac:dyDescent="0.25"/>
    <row r="860" customFormat="1" ht="15.75" customHeight="1" x14ac:dyDescent="0.25"/>
    <row r="861" customFormat="1" ht="15.75" customHeight="1" x14ac:dyDescent="0.25"/>
    <row r="862" customFormat="1" ht="15.75" customHeight="1" x14ac:dyDescent="0.25"/>
    <row r="863" customFormat="1" ht="15.75" customHeight="1" x14ac:dyDescent="0.25"/>
    <row r="864" customFormat="1" ht="15.75" customHeight="1" x14ac:dyDescent="0.25"/>
    <row r="865" customFormat="1" ht="15.75" customHeight="1" x14ac:dyDescent="0.25"/>
    <row r="866" customFormat="1" ht="15.75" customHeight="1" x14ac:dyDescent="0.25"/>
    <row r="867" customFormat="1" ht="15.75" customHeight="1" x14ac:dyDescent="0.25"/>
    <row r="868" customFormat="1" ht="15.75" customHeight="1" x14ac:dyDescent="0.25"/>
    <row r="869" customFormat="1" ht="15.75" customHeight="1" x14ac:dyDescent="0.25"/>
    <row r="870" customFormat="1" ht="15.75" customHeight="1" x14ac:dyDescent="0.25"/>
    <row r="871" customFormat="1" ht="15.75" customHeight="1" x14ac:dyDescent="0.25"/>
    <row r="872" customFormat="1" ht="15.75" customHeight="1" x14ac:dyDescent="0.25"/>
    <row r="873" customFormat="1" ht="15.75" customHeight="1" x14ac:dyDescent="0.25"/>
    <row r="874" customFormat="1" ht="15.75" customHeight="1" x14ac:dyDescent="0.25"/>
    <row r="875" customFormat="1" ht="15.75" customHeight="1" x14ac:dyDescent="0.25"/>
    <row r="876" customFormat="1" ht="15.75" customHeight="1" x14ac:dyDescent="0.25"/>
    <row r="877" customFormat="1" ht="15.75" customHeight="1" x14ac:dyDescent="0.25"/>
    <row r="878" customFormat="1" ht="15.75" customHeight="1" x14ac:dyDescent="0.25"/>
    <row r="879" customFormat="1" ht="15.75" customHeight="1" x14ac:dyDescent="0.25"/>
    <row r="880" customFormat="1" ht="15.75" customHeight="1" x14ac:dyDescent="0.25"/>
    <row r="881" customFormat="1" ht="15.75" customHeight="1" x14ac:dyDescent="0.25"/>
    <row r="882" customFormat="1" ht="15.75" customHeight="1" x14ac:dyDescent="0.25"/>
    <row r="883" customFormat="1" ht="15.75" customHeight="1" x14ac:dyDescent="0.25"/>
    <row r="884" customFormat="1" ht="15.75" customHeight="1" x14ac:dyDescent="0.25"/>
    <row r="885" customFormat="1" ht="15.75" customHeight="1" x14ac:dyDescent="0.25"/>
    <row r="886" customFormat="1" ht="15.75" customHeight="1" x14ac:dyDescent="0.25"/>
    <row r="887" customFormat="1" ht="15.75" customHeight="1" x14ac:dyDescent="0.25"/>
    <row r="888" customFormat="1" ht="15.75" customHeight="1" x14ac:dyDescent="0.25"/>
    <row r="889" customFormat="1" ht="15.75" customHeight="1" x14ac:dyDescent="0.25"/>
    <row r="890" customFormat="1" ht="15.75" customHeight="1" x14ac:dyDescent="0.25"/>
    <row r="891" customFormat="1" ht="15.75" customHeight="1" x14ac:dyDescent="0.25"/>
    <row r="892" customFormat="1" ht="15.75" customHeight="1" x14ac:dyDescent="0.25"/>
    <row r="893" customFormat="1" ht="15.75" customHeight="1" x14ac:dyDescent="0.25"/>
    <row r="894" customFormat="1" ht="15.75" customHeight="1" x14ac:dyDescent="0.25"/>
    <row r="895" customFormat="1" ht="15.75" customHeight="1" x14ac:dyDescent="0.25"/>
    <row r="896" customFormat="1" ht="15.75" customHeight="1" x14ac:dyDescent="0.25"/>
    <row r="897" customFormat="1" ht="15.75" customHeight="1" x14ac:dyDescent="0.25"/>
    <row r="898" customFormat="1" ht="15.75" customHeight="1" x14ac:dyDescent="0.25"/>
    <row r="899" customFormat="1" ht="15.75" customHeight="1" x14ac:dyDescent="0.25"/>
    <row r="900" customFormat="1" ht="15.75" customHeight="1" x14ac:dyDescent="0.25"/>
    <row r="901" customFormat="1" ht="15.75" customHeight="1" x14ac:dyDescent="0.25"/>
    <row r="902" customFormat="1" ht="15.75" customHeight="1" x14ac:dyDescent="0.25"/>
    <row r="903" customFormat="1" ht="15.75" customHeight="1" x14ac:dyDescent="0.25"/>
    <row r="904" customFormat="1" ht="15.75" customHeight="1" x14ac:dyDescent="0.25"/>
    <row r="905" customFormat="1" ht="15.75" customHeight="1" x14ac:dyDescent="0.25"/>
    <row r="906" customFormat="1" ht="15.75" customHeight="1" x14ac:dyDescent="0.25"/>
    <row r="907" customFormat="1" ht="15.75" customHeight="1" x14ac:dyDescent="0.25"/>
    <row r="908" customFormat="1" ht="15.75" customHeight="1" x14ac:dyDescent="0.25"/>
    <row r="909" customFormat="1" ht="15.75" customHeight="1" x14ac:dyDescent="0.25"/>
    <row r="910" customFormat="1" ht="15.75" customHeight="1" x14ac:dyDescent="0.25"/>
    <row r="911" customFormat="1" ht="15.75" customHeight="1" x14ac:dyDescent="0.25"/>
    <row r="912" customFormat="1" ht="15.75" customHeight="1" x14ac:dyDescent="0.25"/>
    <row r="913" customFormat="1" ht="15.75" customHeight="1" x14ac:dyDescent="0.25"/>
    <row r="914" customFormat="1" ht="15.75" customHeight="1" x14ac:dyDescent="0.25"/>
    <row r="915" customFormat="1" ht="15.75" customHeight="1" x14ac:dyDescent="0.25"/>
    <row r="916" customFormat="1" ht="15.75" customHeight="1" x14ac:dyDescent="0.25"/>
    <row r="917" customFormat="1" ht="15.75" customHeight="1" x14ac:dyDescent="0.25"/>
    <row r="918" customFormat="1" ht="15.75" customHeight="1" x14ac:dyDescent="0.25"/>
    <row r="919" customFormat="1" ht="15.75" customHeight="1" x14ac:dyDescent="0.25"/>
    <row r="920" customFormat="1" ht="15.75" customHeight="1" x14ac:dyDescent="0.25"/>
    <row r="921" customFormat="1" ht="15.75" customHeight="1" x14ac:dyDescent="0.25"/>
    <row r="922" customFormat="1" ht="15.75" customHeight="1" x14ac:dyDescent="0.25"/>
    <row r="923" customFormat="1" ht="15.75" customHeight="1" x14ac:dyDescent="0.25"/>
    <row r="924" customFormat="1" ht="15.75" customHeight="1" x14ac:dyDescent="0.25"/>
    <row r="925" customFormat="1" ht="15.75" customHeight="1" x14ac:dyDescent="0.25"/>
    <row r="926" customFormat="1" ht="15.75" customHeight="1" x14ac:dyDescent="0.25"/>
    <row r="927" customFormat="1" ht="15.75" customHeight="1" x14ac:dyDescent="0.25"/>
    <row r="928" customFormat="1" ht="15.75" customHeight="1" x14ac:dyDescent="0.25"/>
    <row r="929" customFormat="1" ht="15.75" customHeight="1" x14ac:dyDescent="0.25"/>
    <row r="930" customFormat="1" ht="15.75" customHeight="1" x14ac:dyDescent="0.25"/>
    <row r="931" customFormat="1" ht="15.75" customHeight="1" x14ac:dyDescent="0.25"/>
    <row r="932" customFormat="1" ht="15.75" customHeight="1" x14ac:dyDescent="0.25"/>
    <row r="933" customFormat="1" ht="15.75" customHeight="1" x14ac:dyDescent="0.25"/>
    <row r="934" customFormat="1" ht="15.75" customHeight="1" x14ac:dyDescent="0.25"/>
    <row r="935" customFormat="1" ht="15.75" customHeight="1" x14ac:dyDescent="0.25"/>
    <row r="936" customFormat="1" ht="15.75" customHeight="1" x14ac:dyDescent="0.25"/>
    <row r="937" customFormat="1" ht="15.75" customHeight="1" x14ac:dyDescent="0.25"/>
    <row r="938" customFormat="1" ht="15.75" customHeight="1" x14ac:dyDescent="0.25"/>
    <row r="939" customFormat="1" ht="15.75" customHeight="1" x14ac:dyDescent="0.25"/>
    <row r="940" customFormat="1" ht="15.75" customHeight="1" x14ac:dyDescent="0.25"/>
    <row r="941" customFormat="1" ht="15.75" customHeight="1" x14ac:dyDescent="0.25"/>
    <row r="942" customFormat="1" ht="15.75" customHeight="1" x14ac:dyDescent="0.25"/>
    <row r="943" customFormat="1" ht="15.75" customHeight="1" x14ac:dyDescent="0.25"/>
    <row r="944" customFormat="1" ht="15.75" customHeight="1" x14ac:dyDescent="0.25"/>
    <row r="945" customFormat="1" ht="15.75" customHeight="1" x14ac:dyDescent="0.25"/>
    <row r="946" customFormat="1" ht="15.75" customHeight="1" x14ac:dyDescent="0.25"/>
    <row r="947" customFormat="1" ht="15.75" customHeight="1" x14ac:dyDescent="0.25"/>
    <row r="948" customFormat="1" ht="15.75" customHeight="1" x14ac:dyDescent="0.25"/>
    <row r="949" customFormat="1" ht="15.75" customHeight="1" x14ac:dyDescent="0.25"/>
    <row r="950" customFormat="1" ht="15.75" customHeight="1" x14ac:dyDescent="0.25"/>
    <row r="951" customFormat="1" ht="15.75" customHeight="1" x14ac:dyDescent="0.25"/>
    <row r="952" customFormat="1" ht="15.75" customHeight="1" x14ac:dyDescent="0.25"/>
    <row r="953" customFormat="1" ht="15.75" customHeight="1" x14ac:dyDescent="0.25"/>
    <row r="954" customFormat="1" ht="15.75" customHeight="1" x14ac:dyDescent="0.25"/>
    <row r="955" customFormat="1" ht="15.75" customHeight="1" x14ac:dyDescent="0.25"/>
    <row r="956" customFormat="1" ht="15.75" customHeight="1" x14ac:dyDescent="0.25"/>
    <row r="957" customFormat="1" ht="15.75" customHeight="1" x14ac:dyDescent="0.25"/>
    <row r="958" customFormat="1" ht="15.75" customHeight="1" x14ac:dyDescent="0.25"/>
    <row r="959" customFormat="1" ht="15.75" customHeight="1" x14ac:dyDescent="0.25"/>
    <row r="960" customFormat="1" ht="15.75" customHeight="1" x14ac:dyDescent="0.25"/>
    <row r="961" customFormat="1" ht="15.75" customHeight="1" x14ac:dyDescent="0.25"/>
    <row r="962" customFormat="1" ht="15.75" customHeight="1" x14ac:dyDescent="0.25"/>
    <row r="963" customFormat="1" ht="15.75" customHeight="1" x14ac:dyDescent="0.25"/>
    <row r="964" customFormat="1" ht="15.75" customHeight="1" x14ac:dyDescent="0.25"/>
    <row r="965" customFormat="1" ht="15.75" customHeight="1" x14ac:dyDescent="0.25"/>
    <row r="966" customFormat="1" ht="15.75" customHeight="1" x14ac:dyDescent="0.25"/>
    <row r="967" customFormat="1" ht="15.75" customHeight="1" x14ac:dyDescent="0.25"/>
    <row r="968" customFormat="1" ht="15.75" customHeight="1" x14ac:dyDescent="0.25"/>
    <row r="969" customFormat="1" ht="15.75" customHeight="1" x14ac:dyDescent="0.25"/>
    <row r="970" customFormat="1" ht="15.75" customHeight="1" x14ac:dyDescent="0.25"/>
    <row r="971" customFormat="1" ht="15.75" customHeight="1" x14ac:dyDescent="0.25"/>
    <row r="972" customFormat="1" ht="15.75" customHeight="1" x14ac:dyDescent="0.25"/>
    <row r="973" customFormat="1" ht="15.75" customHeight="1" x14ac:dyDescent="0.25"/>
    <row r="974" customFormat="1" ht="15.75" customHeight="1" x14ac:dyDescent="0.25"/>
    <row r="975" customFormat="1" ht="15.75" customHeight="1" x14ac:dyDescent="0.25"/>
    <row r="976" customFormat="1" ht="15.75" customHeight="1" x14ac:dyDescent="0.25"/>
    <row r="977" customFormat="1" ht="15.75" customHeight="1" x14ac:dyDescent="0.25"/>
    <row r="978" customFormat="1" ht="15.75" customHeight="1" x14ac:dyDescent="0.25"/>
    <row r="979" customFormat="1" ht="15.75" customHeight="1" x14ac:dyDescent="0.25"/>
    <row r="980" customFormat="1" ht="15.75" customHeight="1" x14ac:dyDescent="0.25"/>
    <row r="981" customFormat="1" ht="15.75" customHeight="1" x14ac:dyDescent="0.25"/>
    <row r="982" customFormat="1" ht="15.75" customHeight="1" x14ac:dyDescent="0.25"/>
    <row r="983" customFormat="1" ht="15.75" customHeight="1" x14ac:dyDescent="0.25"/>
    <row r="984" customFormat="1" ht="15.75" customHeight="1" x14ac:dyDescent="0.25"/>
    <row r="985" customFormat="1" ht="15.75" customHeight="1" x14ac:dyDescent="0.25"/>
    <row r="986" customFormat="1" ht="15.75" customHeight="1" x14ac:dyDescent="0.25"/>
    <row r="987" customFormat="1" ht="15.75" customHeight="1" x14ac:dyDescent="0.25"/>
    <row r="988" customFormat="1" ht="15.75" customHeight="1" x14ac:dyDescent="0.25"/>
    <row r="989" customFormat="1" ht="15.75" customHeight="1" x14ac:dyDescent="0.25"/>
    <row r="990" customFormat="1" ht="15.75" customHeight="1" x14ac:dyDescent="0.25"/>
    <row r="991" customFormat="1" ht="15.75" customHeight="1" x14ac:dyDescent="0.25"/>
    <row r="992" customFormat="1" ht="15.75" customHeight="1" x14ac:dyDescent="0.25"/>
    <row r="993" customFormat="1" ht="15.75" customHeight="1" x14ac:dyDescent="0.25"/>
    <row r="994" customFormat="1" ht="15.75" customHeight="1" x14ac:dyDescent="0.25"/>
    <row r="995" customFormat="1" ht="15.75" customHeight="1" x14ac:dyDescent="0.25"/>
    <row r="996" customFormat="1" ht="15.75" customHeight="1" x14ac:dyDescent="0.25"/>
    <row r="997" customFormat="1" ht="15.75" customHeight="1" x14ac:dyDescent="0.25"/>
    <row r="998" customFormat="1" ht="15.75" customHeight="1" x14ac:dyDescent="0.25"/>
    <row r="999" customFormat="1" ht="15.75" customHeight="1" x14ac:dyDescent="0.25"/>
    <row r="1000" customFormat="1" ht="15.75" customHeight="1" x14ac:dyDescent="0.25"/>
  </sheetData>
  <mergeCells count="4">
    <mergeCell ref="A9:A10"/>
    <mergeCell ref="B72:C72"/>
    <mergeCell ref="D72:E72"/>
    <mergeCell ref="F78:G78"/>
  </mergeCells>
  <printOptions gridLines="1"/>
  <pageMargins left="0.7" right="0.7" top="0.75" bottom="0.75" header="0" footer="0"/>
  <pageSetup paperSize="5" scale="78" fitToHeight="4" orientation="landscape" r:id="rId1"/>
  <rowBreaks count="2" manualBreakCount="2">
    <brk id="34" max="16383" man="1"/>
    <brk id="5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000"/>
  <sheetViews>
    <sheetView workbookViewId="0"/>
  </sheetViews>
  <sheetFormatPr defaultColWidth="14.42578125" defaultRowHeight="15" customHeight="1" x14ac:dyDescent="0.25"/>
  <cols>
    <col min="1" max="1" width="16.7109375" customWidth="1"/>
    <col min="3" max="3" width="16" customWidth="1"/>
    <col min="4" max="4" width="16.140625" customWidth="1"/>
    <col min="5" max="5" width="16.7109375" customWidth="1"/>
    <col min="6" max="6" width="13.28515625" customWidth="1"/>
    <col min="7" max="7" width="14.5703125" customWidth="1"/>
    <col min="9" max="9" width="14.140625" customWidth="1"/>
    <col min="10" max="10" width="12.85546875" customWidth="1"/>
    <col min="11" max="11" width="12.5703125" customWidth="1"/>
    <col min="12" max="12" width="8.7109375" customWidth="1"/>
    <col min="13" max="13" width="13.42578125" customWidth="1"/>
    <col min="14" max="26" width="8.7109375" customWidth="1"/>
  </cols>
  <sheetData>
    <row r="1" spans="1:26" x14ac:dyDescent="0.25">
      <c r="A1" s="1"/>
      <c r="B1" s="1"/>
      <c r="C1" s="1"/>
      <c r="D1" s="1"/>
      <c r="E1" s="1"/>
      <c r="F1" s="1"/>
      <c r="G1" s="1"/>
    </row>
    <row r="2" spans="1:26" x14ac:dyDescent="0.25">
      <c r="A2" s="2"/>
      <c r="B2" s="3"/>
      <c r="C2" s="4"/>
      <c r="D2" s="4"/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x14ac:dyDescent="0.25">
      <c r="A3" s="6"/>
      <c r="B3" s="6"/>
      <c r="C3" s="7"/>
      <c r="D3" s="7"/>
      <c r="E3" s="7"/>
      <c r="F3" s="7"/>
      <c r="G3" s="7"/>
      <c r="H3" s="7"/>
      <c r="I3" s="7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x14ac:dyDescent="0.25">
      <c r="A4" s="8"/>
      <c r="B4" s="9"/>
      <c r="C4" s="10"/>
      <c r="D4" s="10"/>
      <c r="E4" s="10"/>
      <c r="F4" s="10"/>
      <c r="G4" s="10"/>
      <c r="H4" s="10"/>
      <c r="I4" s="10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x14ac:dyDescent="0.25">
      <c r="A5" s="8"/>
      <c r="B5" s="9"/>
      <c r="C5" s="12"/>
      <c r="D5" s="12"/>
      <c r="E5" s="12"/>
      <c r="F5" s="12"/>
      <c r="G5" s="10"/>
      <c r="H5" s="10"/>
      <c r="I5" s="10"/>
      <c r="J5" s="13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x14ac:dyDescent="0.25">
      <c r="A6" s="8"/>
      <c r="B6" s="9"/>
      <c r="C6" s="10"/>
      <c r="E6" s="10"/>
      <c r="F6" s="10"/>
      <c r="G6" s="10"/>
      <c r="H6" s="10"/>
      <c r="I6" s="10"/>
    </row>
    <row r="7" spans="1:26" x14ac:dyDescent="0.25">
      <c r="A7" s="8"/>
      <c r="B7" s="9"/>
      <c r="C7" s="10"/>
      <c r="D7" s="10"/>
      <c r="E7" s="10"/>
      <c r="F7" s="10"/>
      <c r="G7" s="10"/>
      <c r="H7" s="10"/>
      <c r="I7" s="10"/>
      <c r="J7" s="14"/>
    </row>
    <row r="8" spans="1:26" x14ac:dyDescent="0.25">
      <c r="A8" s="8"/>
      <c r="B8" s="9"/>
      <c r="C8" s="10"/>
      <c r="D8" s="10"/>
      <c r="E8" s="10"/>
      <c r="F8" s="10"/>
      <c r="G8" s="10"/>
      <c r="H8" s="10"/>
      <c r="I8" s="10"/>
      <c r="J8" s="14"/>
      <c r="V8" s="5"/>
      <c r="W8" s="5"/>
    </row>
    <row r="9" spans="1:26" x14ac:dyDescent="0.25">
      <c r="A9" s="1"/>
      <c r="B9" s="15"/>
      <c r="C9" s="15"/>
      <c r="D9" s="15"/>
      <c r="E9" s="15"/>
      <c r="F9" s="15"/>
      <c r="G9" s="15"/>
      <c r="H9" s="15"/>
      <c r="I9" s="15"/>
      <c r="V9" s="5"/>
      <c r="W9" s="5"/>
    </row>
    <row r="10" spans="1:26" x14ac:dyDescent="0.25">
      <c r="A10" s="1"/>
      <c r="B10" s="9"/>
      <c r="C10" s="9"/>
      <c r="D10" s="9"/>
      <c r="E10" s="9"/>
      <c r="F10" s="9"/>
      <c r="G10" s="9"/>
      <c r="H10" s="9"/>
      <c r="I10" s="9"/>
      <c r="J10" s="14"/>
      <c r="V10" s="5"/>
      <c r="W10" s="5"/>
    </row>
    <row r="11" spans="1:26" x14ac:dyDescent="0.25">
      <c r="A11" s="67"/>
      <c r="B11" s="16"/>
      <c r="C11" s="17"/>
      <c r="D11" s="17"/>
      <c r="E11" s="17"/>
      <c r="F11" s="17"/>
      <c r="G11" s="17"/>
      <c r="H11" s="17"/>
      <c r="I11" s="17"/>
      <c r="V11" s="5"/>
      <c r="W11" s="5"/>
    </row>
    <row r="12" spans="1:26" x14ac:dyDescent="0.25">
      <c r="A12" s="68"/>
      <c r="B12" s="16"/>
      <c r="C12" s="18"/>
      <c r="D12" s="18"/>
      <c r="E12" s="18"/>
      <c r="F12" s="18"/>
      <c r="G12" s="18"/>
      <c r="H12" s="18"/>
      <c r="I12" s="18"/>
      <c r="J12" s="14"/>
      <c r="V12" s="5"/>
      <c r="W12" s="5"/>
    </row>
    <row r="13" spans="1:26" x14ac:dyDescent="0.25">
      <c r="A13" s="19"/>
      <c r="B13" s="9"/>
      <c r="C13" s="10"/>
      <c r="D13" s="10"/>
      <c r="E13" s="10"/>
      <c r="F13" s="10"/>
      <c r="G13" s="10"/>
      <c r="H13" s="10"/>
      <c r="I13" s="10"/>
      <c r="V13" s="5"/>
      <c r="W13" s="5"/>
    </row>
    <row r="14" spans="1:26" x14ac:dyDescent="0.25">
      <c r="A14" s="20"/>
      <c r="B14" s="10"/>
      <c r="C14" s="10"/>
      <c r="D14" s="10"/>
      <c r="E14" s="10"/>
      <c r="F14" s="10"/>
      <c r="H14" s="10"/>
      <c r="I14" s="10"/>
      <c r="J14" s="14"/>
      <c r="V14" s="5"/>
      <c r="W14" s="5"/>
    </row>
    <row r="15" spans="1:26" x14ac:dyDescent="0.25">
      <c r="A15" s="20"/>
      <c r="B15" s="10"/>
      <c r="C15" s="10"/>
      <c r="D15" s="10"/>
      <c r="E15" s="10"/>
      <c r="F15" s="10"/>
      <c r="V15" s="5"/>
      <c r="W15" s="5"/>
    </row>
    <row r="16" spans="1:26" x14ac:dyDescent="0.25">
      <c r="A16" s="21"/>
      <c r="B16" s="10"/>
      <c r="C16" s="10"/>
      <c r="D16" s="10"/>
      <c r="E16" s="10"/>
      <c r="F16" s="10"/>
      <c r="G16" s="10"/>
      <c r="H16" s="10"/>
      <c r="I16" s="10"/>
      <c r="J16" s="14"/>
      <c r="V16" s="5"/>
      <c r="W16" s="5"/>
    </row>
    <row r="17" spans="1:26" x14ac:dyDescent="0.25">
      <c r="A17" s="21"/>
      <c r="B17" s="10"/>
      <c r="C17" s="10"/>
      <c r="D17" s="10"/>
      <c r="E17" s="10"/>
      <c r="F17" s="10"/>
      <c r="G17" s="10"/>
      <c r="H17" s="10"/>
      <c r="I17" s="10"/>
      <c r="J17" s="22"/>
      <c r="K17" s="22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5"/>
      <c r="W17" s="5"/>
      <c r="X17" s="23"/>
      <c r="Y17" s="23"/>
      <c r="Z17" s="23"/>
    </row>
    <row r="18" spans="1:26" x14ac:dyDescent="0.25">
      <c r="A18" s="21"/>
      <c r="B18" s="10"/>
      <c r="C18" s="10"/>
      <c r="D18" s="10"/>
      <c r="E18" s="10"/>
      <c r="F18" s="10"/>
      <c r="G18" s="10"/>
      <c r="H18" s="10"/>
      <c r="I18" s="10"/>
      <c r="J18" s="22"/>
      <c r="K18" s="22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5"/>
      <c r="W18" s="5"/>
      <c r="X18" s="23"/>
      <c r="Y18" s="23"/>
      <c r="Z18" s="23"/>
    </row>
    <row r="19" spans="1:26" x14ac:dyDescent="0.25">
      <c r="A19" s="21"/>
      <c r="B19" s="10"/>
      <c r="C19" s="10"/>
      <c r="D19" s="10"/>
      <c r="E19" s="10"/>
      <c r="F19" s="10"/>
      <c r="G19" s="10"/>
      <c r="H19" s="10"/>
      <c r="I19" s="10"/>
      <c r="V19" s="5"/>
      <c r="W19" s="5"/>
    </row>
    <row r="20" spans="1:26" x14ac:dyDescent="0.25">
      <c r="A20" s="21"/>
      <c r="B20" s="10"/>
      <c r="C20" s="10"/>
      <c r="D20" s="10"/>
      <c r="E20" s="10"/>
      <c r="G20" s="10"/>
      <c r="H20" s="10"/>
      <c r="I20" s="10"/>
      <c r="V20" s="5"/>
      <c r="W20" s="5"/>
    </row>
    <row r="21" spans="1:26" ht="15.75" customHeight="1" x14ac:dyDescent="0.25">
      <c r="A21" s="21"/>
      <c r="B21" s="10"/>
      <c r="C21" s="10"/>
      <c r="D21" s="10"/>
      <c r="E21" s="10"/>
      <c r="F21" s="10"/>
      <c r="H21" s="24"/>
      <c r="I21" s="10"/>
      <c r="J21" s="25"/>
      <c r="K21" s="25"/>
      <c r="L21" s="25"/>
      <c r="V21" s="5"/>
      <c r="W21" s="5"/>
    </row>
    <row r="22" spans="1:26" ht="15.75" customHeight="1" x14ac:dyDescent="0.25">
      <c r="A22" s="1"/>
      <c r="B22" s="26"/>
      <c r="C22" s="9"/>
      <c r="D22" s="9"/>
      <c r="E22" s="9"/>
      <c r="F22" s="9"/>
      <c r="G22" s="9"/>
      <c r="H22" s="9"/>
      <c r="I22" s="9"/>
      <c r="J22" s="10"/>
      <c r="K22" s="10"/>
      <c r="L22" s="10"/>
      <c r="V22" s="5"/>
      <c r="W22" s="5"/>
    </row>
    <row r="23" spans="1:26" ht="15.75" customHeight="1" x14ac:dyDescent="0.25">
      <c r="A23" s="1"/>
      <c r="B23" s="26"/>
      <c r="C23" s="10"/>
      <c r="D23" s="10"/>
      <c r="E23" s="10"/>
      <c r="F23" s="10"/>
      <c r="G23" s="21"/>
      <c r="H23" s="21"/>
      <c r="I23" s="21"/>
      <c r="J23" s="10"/>
      <c r="K23" s="10"/>
      <c r="L23" s="10"/>
      <c r="V23" s="5"/>
      <c r="W23" s="5"/>
    </row>
    <row r="24" spans="1:26" ht="15.75" customHeight="1" x14ac:dyDescent="0.25">
      <c r="A24" s="1"/>
      <c r="B24" s="9"/>
      <c r="C24" s="10"/>
      <c r="D24" s="10"/>
      <c r="E24" s="10"/>
      <c r="F24" s="10"/>
      <c r="G24" s="10"/>
      <c r="H24" s="10"/>
      <c r="I24" s="10"/>
      <c r="J24" s="14"/>
      <c r="K24" s="14"/>
      <c r="L24" s="14"/>
      <c r="M24" s="14"/>
      <c r="V24" s="5"/>
      <c r="W24" s="5"/>
    </row>
    <row r="25" spans="1:26" ht="15.75" customHeight="1" x14ac:dyDescent="0.25">
      <c r="A25" s="1"/>
      <c r="B25" s="9"/>
      <c r="C25" s="10"/>
      <c r="D25" s="10"/>
      <c r="E25" s="10"/>
      <c r="F25" s="10"/>
      <c r="G25" s="10"/>
      <c r="H25" s="10"/>
      <c r="I25" s="10"/>
      <c r="J25" s="14"/>
      <c r="K25" s="14"/>
      <c r="L25" s="14"/>
      <c r="M25" s="14"/>
      <c r="V25" s="5"/>
      <c r="W25" s="5"/>
    </row>
    <row r="26" spans="1:26" ht="15.75" customHeight="1" x14ac:dyDescent="0.25">
      <c r="A26" s="1"/>
      <c r="B26" s="9"/>
      <c r="C26" s="10"/>
      <c r="D26" s="10"/>
      <c r="E26" s="10"/>
      <c r="F26" s="10"/>
      <c r="G26" s="10"/>
      <c r="H26" s="10"/>
      <c r="I26" s="10"/>
      <c r="J26" s="14"/>
      <c r="K26" s="14"/>
      <c r="L26" s="14"/>
      <c r="M26" s="14"/>
      <c r="V26" s="5"/>
      <c r="W26" s="5"/>
    </row>
    <row r="27" spans="1:26" ht="15.75" customHeight="1" x14ac:dyDescent="0.25">
      <c r="A27" s="1"/>
      <c r="B27" s="9"/>
      <c r="C27" s="10"/>
      <c r="D27" s="10"/>
      <c r="E27" s="10"/>
      <c r="F27" s="10"/>
      <c r="G27" s="10"/>
      <c r="H27" s="10"/>
      <c r="I27" s="10"/>
      <c r="M27" s="14"/>
      <c r="V27" s="5"/>
    </row>
    <row r="28" spans="1:26" ht="15.75" customHeight="1" x14ac:dyDescent="0.25">
      <c r="A28" s="1"/>
      <c r="B28" s="9"/>
      <c r="C28" s="10"/>
      <c r="D28" s="10"/>
      <c r="E28" s="10"/>
      <c r="F28" s="10"/>
      <c r="G28" s="10"/>
      <c r="H28" s="10"/>
      <c r="I28" s="10"/>
      <c r="M28" s="14"/>
      <c r="V28" s="5"/>
    </row>
    <row r="29" spans="1:26" ht="15.75" customHeight="1" x14ac:dyDescent="0.25">
      <c r="A29" s="1"/>
      <c r="B29" s="9"/>
      <c r="C29" s="10"/>
      <c r="D29" s="10"/>
      <c r="E29" s="10"/>
      <c r="F29" s="10"/>
      <c r="G29" s="10"/>
      <c r="H29" s="10"/>
      <c r="I29" s="10"/>
      <c r="M29" s="14"/>
      <c r="V29" s="5"/>
    </row>
    <row r="30" spans="1:26" ht="15.75" customHeight="1" x14ac:dyDescent="0.25">
      <c r="A30" s="1"/>
      <c r="B30" s="9"/>
      <c r="C30" s="10"/>
      <c r="D30" s="10"/>
      <c r="E30" s="10"/>
      <c r="F30" s="10"/>
      <c r="G30" s="10"/>
      <c r="H30" s="10"/>
      <c r="I30" s="10"/>
      <c r="M30" s="14"/>
      <c r="X30" s="27"/>
    </row>
    <row r="31" spans="1:26" ht="15.75" customHeight="1" x14ac:dyDescent="0.25">
      <c r="A31" s="1"/>
      <c r="B31" s="26"/>
      <c r="C31" s="10"/>
      <c r="D31" s="10"/>
      <c r="E31" s="10"/>
      <c r="F31" s="10"/>
      <c r="G31" s="10"/>
      <c r="H31" s="10"/>
      <c r="I31" s="10"/>
      <c r="M31" s="14"/>
    </row>
    <row r="32" spans="1:26" ht="15.75" customHeight="1" x14ac:dyDescent="0.25">
      <c r="A32" s="1"/>
      <c r="B32" s="26"/>
      <c r="C32" s="10"/>
      <c r="D32" s="10"/>
      <c r="E32" s="10"/>
      <c r="F32" s="10"/>
      <c r="H32" s="25"/>
      <c r="I32" s="25"/>
    </row>
    <row r="33" spans="1:10" ht="15.75" customHeight="1" x14ac:dyDescent="0.25">
      <c r="A33" s="1"/>
      <c r="B33" s="26"/>
      <c r="C33" s="10"/>
      <c r="D33" s="10"/>
      <c r="E33" s="10"/>
    </row>
    <row r="34" spans="1:10" ht="15.75" customHeight="1" x14ac:dyDescent="0.25">
      <c r="A34" s="1"/>
      <c r="B34" s="26"/>
      <c r="C34" s="10"/>
      <c r="D34" s="10"/>
      <c r="E34" s="10"/>
    </row>
    <row r="35" spans="1:10" ht="15.75" customHeight="1" x14ac:dyDescent="0.25">
      <c r="A35" s="1"/>
      <c r="B35" s="26"/>
      <c r="C35" s="10"/>
      <c r="D35" s="10"/>
      <c r="E35" s="10"/>
    </row>
    <row r="36" spans="1:10" ht="15.75" customHeight="1" x14ac:dyDescent="0.25">
      <c r="A36" s="1"/>
      <c r="B36" s="15"/>
      <c r="C36" s="12"/>
      <c r="D36" s="12"/>
      <c r="E36" s="12"/>
      <c r="F36" s="12"/>
      <c r="G36" s="12"/>
      <c r="H36" s="12"/>
      <c r="I36" s="12"/>
    </row>
    <row r="37" spans="1:10" ht="15.75" customHeight="1" x14ac:dyDescent="0.25">
      <c r="A37" s="1"/>
      <c r="B37" s="9"/>
      <c r="C37" s="12"/>
      <c r="D37" s="12"/>
      <c r="E37" s="12"/>
      <c r="F37" s="12"/>
      <c r="G37" s="12"/>
      <c r="H37" s="12"/>
      <c r="I37" s="12"/>
    </row>
    <row r="38" spans="1:10" ht="15.75" customHeight="1" x14ac:dyDescent="0.25">
      <c r="A38" s="1"/>
      <c r="B38" s="9"/>
      <c r="C38" s="9"/>
      <c r="D38" s="9"/>
      <c r="E38" s="9"/>
      <c r="F38" s="9"/>
      <c r="G38" s="9"/>
      <c r="H38" s="9"/>
      <c r="I38" s="9"/>
      <c r="J38" s="12"/>
    </row>
    <row r="39" spans="1:10" ht="15.75" customHeight="1" x14ac:dyDescent="0.25">
      <c r="A39" s="28"/>
      <c r="B39" s="16"/>
      <c r="C39" s="17"/>
      <c r="D39" s="17"/>
      <c r="E39" s="17"/>
      <c r="F39" s="17"/>
      <c r="G39" s="17"/>
      <c r="H39" s="17"/>
      <c r="I39" s="17"/>
    </row>
    <row r="40" spans="1:10" ht="15.75" customHeight="1" x14ac:dyDescent="0.25">
      <c r="A40" s="29"/>
      <c r="B40" s="16"/>
      <c r="C40" s="17"/>
      <c r="D40" s="17"/>
      <c r="E40" s="17"/>
      <c r="F40" s="17"/>
      <c r="G40" s="58"/>
      <c r="H40" s="17"/>
      <c r="I40" s="17"/>
    </row>
    <row r="41" spans="1:10" ht="15.75" customHeight="1" x14ac:dyDescent="0.25">
      <c r="A41" s="19"/>
      <c r="B41" s="10"/>
      <c r="C41" s="10"/>
      <c r="D41" s="10"/>
      <c r="E41" s="10"/>
      <c r="F41" s="10"/>
      <c r="H41" s="25"/>
      <c r="I41" s="25"/>
    </row>
    <row r="42" spans="1:10" ht="15.75" customHeight="1" x14ac:dyDescent="0.25">
      <c r="A42" s="10"/>
      <c r="B42" s="10"/>
      <c r="C42" s="10"/>
      <c r="D42" s="10"/>
      <c r="E42" s="10"/>
      <c r="H42" s="25"/>
      <c r="I42" s="25"/>
    </row>
    <row r="43" spans="1:10" ht="15.75" customHeight="1" x14ac:dyDescent="0.25">
      <c r="A43" s="21"/>
      <c r="B43" s="10"/>
      <c r="C43" s="10"/>
      <c r="D43" s="10"/>
      <c r="E43" s="10"/>
      <c r="H43" s="25"/>
      <c r="I43" s="25"/>
    </row>
    <row r="44" spans="1:10" ht="15.75" customHeight="1" x14ac:dyDescent="0.25">
      <c r="A44" s="21"/>
      <c r="B44" s="10"/>
      <c r="C44" s="10"/>
      <c r="D44" s="10"/>
      <c r="E44" s="10"/>
      <c r="F44" s="10"/>
      <c r="H44" s="21"/>
      <c r="I44" s="21"/>
    </row>
    <row r="45" spans="1:10" ht="15.75" customHeight="1" x14ac:dyDescent="0.25">
      <c r="A45" s="21"/>
      <c r="B45" s="10"/>
      <c r="C45" s="10"/>
      <c r="D45" s="10"/>
      <c r="E45" s="10"/>
      <c r="F45" s="10"/>
      <c r="G45" s="21"/>
      <c r="H45" s="21"/>
      <c r="I45" s="21"/>
    </row>
    <row r="46" spans="1:10" ht="15.75" customHeight="1" x14ac:dyDescent="0.25">
      <c r="A46" s="1"/>
      <c r="B46" s="26"/>
      <c r="C46" s="10"/>
      <c r="D46" s="10"/>
      <c r="E46" s="10"/>
      <c r="F46" s="10"/>
      <c r="G46" s="26"/>
      <c r="H46" s="9"/>
      <c r="I46" s="9"/>
    </row>
    <row r="47" spans="1:10" ht="15.75" customHeight="1" x14ac:dyDescent="0.25">
      <c r="A47" s="1"/>
      <c r="B47" s="26"/>
      <c r="D47" s="10"/>
      <c r="E47" s="10"/>
      <c r="F47" s="10"/>
      <c r="G47" s="26"/>
      <c r="H47" s="9"/>
      <c r="I47" s="9"/>
    </row>
    <row r="48" spans="1:10" ht="15.75" customHeight="1" x14ac:dyDescent="0.25">
      <c r="A48" s="1"/>
      <c r="B48" s="9"/>
      <c r="C48" s="10"/>
      <c r="D48" s="10"/>
      <c r="E48" s="10"/>
      <c r="F48" s="10"/>
      <c r="G48" s="10"/>
      <c r="H48" s="10"/>
      <c r="I48" s="10"/>
    </row>
    <row r="49" spans="1:10" ht="15.75" customHeight="1" x14ac:dyDescent="0.25">
      <c r="A49" s="21"/>
      <c r="C49" s="10"/>
      <c r="D49" s="10"/>
      <c r="E49" s="10"/>
      <c r="F49" s="10"/>
      <c r="G49" s="10"/>
      <c r="H49" s="10"/>
      <c r="I49" s="10"/>
      <c r="J49" s="10"/>
    </row>
    <row r="50" spans="1:10" ht="15.75" customHeight="1" x14ac:dyDescent="0.25">
      <c r="A50" s="21"/>
      <c r="C50" s="10"/>
      <c r="D50" s="10"/>
      <c r="E50" s="10"/>
      <c r="F50" s="10"/>
      <c r="G50" s="10"/>
      <c r="H50" s="10"/>
      <c r="I50" s="10"/>
    </row>
    <row r="51" spans="1:10" ht="15.75" customHeight="1" x14ac:dyDescent="0.25">
      <c r="A51" s="21"/>
      <c r="C51" s="10"/>
      <c r="D51" s="10"/>
      <c r="E51" s="10"/>
      <c r="F51" s="10"/>
      <c r="G51" s="10"/>
      <c r="H51" s="10"/>
      <c r="I51" s="10"/>
    </row>
    <row r="52" spans="1:10" ht="15.75" customHeight="1" x14ac:dyDescent="0.25">
      <c r="A52" s="21"/>
      <c r="B52" s="10"/>
      <c r="C52" s="10"/>
      <c r="D52" s="10"/>
      <c r="E52" s="10"/>
      <c r="F52" s="10"/>
      <c r="G52" s="10"/>
      <c r="H52" s="10"/>
      <c r="I52" s="10"/>
    </row>
    <row r="53" spans="1:10" ht="15.75" customHeight="1" x14ac:dyDescent="0.25">
      <c r="A53" s="21"/>
      <c r="B53" s="10"/>
      <c r="C53" s="10"/>
      <c r="D53" s="10"/>
      <c r="E53" s="10"/>
      <c r="F53" s="10"/>
      <c r="G53" s="10"/>
      <c r="H53" s="10"/>
      <c r="I53" s="10"/>
    </row>
    <row r="54" spans="1:10" ht="15.75" customHeight="1" x14ac:dyDescent="0.25">
      <c r="A54" s="21"/>
      <c r="B54" s="10"/>
      <c r="C54" s="10"/>
      <c r="D54" s="10"/>
      <c r="E54" s="10"/>
      <c r="F54" s="10"/>
      <c r="G54" s="10"/>
      <c r="H54" s="10"/>
      <c r="I54" s="10"/>
    </row>
    <row r="55" spans="1:10" ht="15.75" customHeight="1" x14ac:dyDescent="0.25">
      <c r="A55" s="21"/>
      <c r="B55" s="10"/>
      <c r="C55" s="10"/>
      <c r="D55" s="10"/>
      <c r="E55" s="10"/>
      <c r="F55" s="10"/>
      <c r="G55" s="10"/>
      <c r="H55" s="10"/>
      <c r="I55" s="10"/>
    </row>
    <row r="56" spans="1:10" ht="15.75" customHeight="1" x14ac:dyDescent="0.25">
      <c r="A56" s="21"/>
      <c r="B56" s="10"/>
      <c r="C56" s="10"/>
      <c r="D56" s="10"/>
      <c r="E56" s="10"/>
      <c r="F56" s="10"/>
      <c r="G56" s="10"/>
      <c r="H56" s="10"/>
      <c r="I56" s="10"/>
    </row>
    <row r="57" spans="1:10" ht="15.75" customHeight="1" x14ac:dyDescent="0.25">
      <c r="A57" s="21"/>
      <c r="B57" s="10"/>
      <c r="C57" s="10"/>
      <c r="D57" s="10"/>
      <c r="E57" s="10"/>
      <c r="F57" s="10"/>
      <c r="G57" s="10"/>
      <c r="H57" s="10"/>
      <c r="I57" s="10"/>
    </row>
    <row r="58" spans="1:10" ht="15.75" customHeight="1" x14ac:dyDescent="0.25">
      <c r="A58" s="1"/>
      <c r="B58" s="26"/>
      <c r="C58" s="10"/>
      <c r="D58" s="10"/>
      <c r="E58" s="10"/>
      <c r="F58" s="10"/>
      <c r="G58" s="26"/>
      <c r="H58" s="9"/>
      <c r="I58" s="9"/>
    </row>
    <row r="59" spans="1:10" ht="15.75" customHeight="1" x14ac:dyDescent="0.25">
      <c r="A59" s="1"/>
      <c r="B59" s="15"/>
      <c r="C59" s="10"/>
      <c r="D59" s="10"/>
      <c r="E59" s="10"/>
      <c r="F59" s="10"/>
      <c r="G59" s="10"/>
      <c r="H59" s="10"/>
      <c r="I59" s="10"/>
    </row>
    <row r="60" spans="1:10" ht="15.75" customHeight="1" x14ac:dyDescent="0.25">
      <c r="A60" s="1"/>
      <c r="B60" s="9"/>
      <c r="C60" s="10"/>
      <c r="D60" s="10"/>
      <c r="E60" s="10"/>
      <c r="F60" s="10"/>
      <c r="G60" s="10"/>
      <c r="H60" s="10"/>
      <c r="I60" s="10"/>
    </row>
    <row r="61" spans="1:10" ht="15.75" customHeight="1" x14ac:dyDescent="0.25">
      <c r="A61" s="59"/>
      <c r="B61" s="60"/>
      <c r="C61" s="61"/>
      <c r="D61" s="61"/>
      <c r="E61" s="62"/>
      <c r="F61" s="61"/>
      <c r="G61" s="63"/>
      <c r="H61" s="63"/>
      <c r="I61" s="63"/>
    </row>
    <row r="62" spans="1:10" ht="15.75" customHeight="1" x14ac:dyDescent="0.25">
      <c r="A62" s="64"/>
      <c r="B62" s="60"/>
      <c r="C62" s="61"/>
      <c r="D62" s="61"/>
      <c r="E62" s="61"/>
      <c r="F62" s="61"/>
      <c r="G62" s="61"/>
      <c r="H62" s="61"/>
      <c r="I62" s="61"/>
    </row>
    <row r="63" spans="1:10" ht="15.75" customHeight="1" x14ac:dyDescent="0.25">
      <c r="A63" s="21"/>
      <c r="B63" s="10"/>
      <c r="C63" s="10"/>
      <c r="D63" s="10"/>
      <c r="E63" s="10"/>
      <c r="F63" s="10"/>
      <c r="G63" s="10"/>
      <c r="H63" s="10"/>
      <c r="I63" s="10"/>
    </row>
    <row r="64" spans="1:10" ht="15.7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</row>
    <row r="65" spans="1:9" ht="15.7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</row>
    <row r="66" spans="1:9" ht="15.75" customHeight="1" x14ac:dyDescent="0.25">
      <c r="A66" s="9"/>
      <c r="B66" s="15"/>
      <c r="C66" s="15"/>
      <c r="D66" s="9"/>
      <c r="E66" s="15"/>
      <c r="F66" s="10"/>
      <c r="G66" s="9"/>
      <c r="H66" s="9"/>
      <c r="I66" s="9"/>
    </row>
    <row r="67" spans="1:9" ht="15.75" customHeight="1" x14ac:dyDescent="0.25">
      <c r="A67" s="9"/>
      <c r="B67" s="9"/>
      <c r="C67" s="65"/>
      <c r="D67" s="9"/>
      <c r="E67" s="65"/>
      <c r="F67" s="10"/>
      <c r="G67" s="9"/>
      <c r="H67" s="9"/>
      <c r="I67" s="9"/>
    </row>
    <row r="68" spans="1:9" ht="15.75" customHeight="1" x14ac:dyDescent="0.25">
      <c r="A68" s="59"/>
      <c r="B68" s="60"/>
      <c r="C68" s="61"/>
      <c r="D68" s="61"/>
      <c r="E68" s="61"/>
      <c r="F68" s="61"/>
      <c r="G68" s="63"/>
      <c r="H68" s="63"/>
      <c r="I68" s="63"/>
    </row>
    <row r="69" spans="1:9" ht="15.75" customHeight="1" x14ac:dyDescent="0.25">
      <c r="A69" s="64"/>
      <c r="B69" s="60"/>
      <c r="C69" s="61"/>
      <c r="D69" s="61"/>
      <c r="E69" s="61"/>
      <c r="F69" s="61"/>
      <c r="G69" s="61"/>
      <c r="H69" s="61"/>
      <c r="I69" s="61"/>
    </row>
    <row r="70" spans="1:9" ht="15.75" customHeight="1" x14ac:dyDescent="0.25">
      <c r="A70" s="21"/>
      <c r="B70" s="10"/>
      <c r="C70" s="10"/>
      <c r="D70" s="10"/>
      <c r="E70" s="10"/>
      <c r="F70" s="10"/>
      <c r="G70" s="10"/>
      <c r="H70" s="10"/>
      <c r="I70" s="10"/>
    </row>
    <row r="71" spans="1:9" ht="15.7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</row>
    <row r="72" spans="1:9" ht="15.7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</row>
    <row r="73" spans="1:9" ht="15.75" customHeight="1" x14ac:dyDescent="0.25">
      <c r="A73" s="9"/>
      <c r="B73" s="15"/>
      <c r="C73" s="10"/>
      <c r="D73" s="15"/>
      <c r="E73" s="10"/>
      <c r="F73" s="10"/>
      <c r="G73" s="9"/>
      <c r="H73" s="9"/>
      <c r="I73" s="9"/>
    </row>
    <row r="74" spans="1:9" ht="15.7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</row>
    <row r="75" spans="1:9" ht="15.75" customHeight="1" x14ac:dyDescent="0.25">
      <c r="A75" s="2"/>
      <c r="B75" s="3"/>
      <c r="C75" s="4"/>
      <c r="D75" s="4"/>
      <c r="E75" s="4"/>
      <c r="F75" s="4"/>
      <c r="G75" s="4"/>
      <c r="H75" s="4"/>
      <c r="I75" s="4"/>
    </row>
    <row r="76" spans="1:9" ht="15.75" customHeight="1" x14ac:dyDescent="0.25">
      <c r="A76" s="6"/>
      <c r="B76" s="6"/>
      <c r="C76" s="7"/>
      <c r="D76" s="7"/>
      <c r="E76" s="7"/>
      <c r="F76" s="7"/>
      <c r="G76" s="7"/>
      <c r="H76" s="7"/>
      <c r="I76" s="7"/>
    </row>
    <row r="77" spans="1:9" ht="15.75" customHeight="1" x14ac:dyDescent="0.25">
      <c r="A77" s="8"/>
      <c r="B77" s="9"/>
      <c r="C77" s="10"/>
      <c r="D77" s="10"/>
      <c r="E77" s="10"/>
      <c r="F77" s="10"/>
      <c r="G77" s="10"/>
      <c r="H77" s="10"/>
      <c r="I77" s="10"/>
    </row>
    <row r="78" spans="1:9" ht="15.75" customHeight="1" x14ac:dyDescent="0.25">
      <c r="A78" s="8"/>
      <c r="B78" s="9"/>
      <c r="C78" s="12"/>
      <c r="D78" s="12"/>
      <c r="E78" s="12"/>
      <c r="F78" s="12"/>
      <c r="G78" s="10"/>
      <c r="H78" s="10"/>
      <c r="I78" s="10"/>
    </row>
    <row r="79" spans="1:9" ht="15.75" customHeight="1" x14ac:dyDescent="0.25">
      <c r="A79" s="8"/>
      <c r="B79" s="9"/>
      <c r="C79" s="10"/>
      <c r="E79" s="10"/>
      <c r="F79" s="10"/>
      <c r="G79" s="10"/>
      <c r="H79" s="10"/>
      <c r="I79" s="10"/>
    </row>
    <row r="80" spans="1:9" ht="15.75" customHeight="1" x14ac:dyDescent="0.25">
      <c r="A80" s="8"/>
      <c r="B80" s="9"/>
      <c r="C80" s="10"/>
      <c r="D80" s="10"/>
      <c r="E80" s="10"/>
      <c r="F80" s="10"/>
      <c r="G80" s="10"/>
      <c r="H80" s="10"/>
      <c r="I80" s="10"/>
    </row>
    <row r="81" spans="1:11" ht="15.75" customHeight="1" x14ac:dyDescent="0.25">
      <c r="A81" s="8"/>
      <c r="B81" s="9"/>
      <c r="C81" s="10"/>
      <c r="D81" s="10"/>
      <c r="E81" s="10"/>
      <c r="F81" s="10"/>
      <c r="G81" s="10"/>
      <c r="H81" s="10"/>
      <c r="I81" s="10"/>
    </row>
    <row r="82" spans="1:11" ht="15.75" customHeight="1" x14ac:dyDescent="0.25">
      <c r="A82" s="1"/>
      <c r="B82" s="15"/>
      <c r="C82" s="15"/>
      <c r="D82" s="15"/>
      <c r="E82" s="15"/>
      <c r="F82" s="15"/>
      <c r="G82" s="15"/>
      <c r="H82" s="15"/>
      <c r="I82" s="15"/>
    </row>
    <row r="83" spans="1:11" ht="15.75" customHeight="1" x14ac:dyDescent="0.25">
      <c r="A83" s="21"/>
      <c r="B83" s="21"/>
      <c r="C83" s="10"/>
      <c r="D83" s="10"/>
      <c r="E83" s="10"/>
      <c r="F83" s="10"/>
    </row>
    <row r="84" spans="1:11" ht="15.75" customHeight="1" x14ac:dyDescent="0.25">
      <c r="A84" s="21"/>
      <c r="B84" s="21"/>
      <c r="D84" s="10"/>
      <c r="E84" s="10"/>
      <c r="G84" s="10"/>
      <c r="H84" s="10"/>
    </row>
    <row r="85" spans="1:11" ht="15.75" customHeight="1" x14ac:dyDescent="0.25">
      <c r="A85" s="10"/>
      <c r="B85" s="27"/>
      <c r="C85" s="27"/>
      <c r="D85" s="27"/>
      <c r="E85" s="27"/>
      <c r="F85" s="11"/>
      <c r="G85" s="10"/>
      <c r="H85" s="10"/>
    </row>
    <row r="86" spans="1:11" ht="15.75" customHeight="1" x14ac:dyDescent="0.25">
      <c r="A86" s="30"/>
      <c r="B86" s="10"/>
      <c r="C86" s="10"/>
      <c r="D86" s="10"/>
      <c r="E86" s="10"/>
      <c r="F86" s="10"/>
      <c r="G86" s="10"/>
      <c r="H86" s="10"/>
      <c r="J86" s="14"/>
    </row>
    <row r="87" spans="1:11" ht="15.75" customHeight="1" x14ac:dyDescent="0.25">
      <c r="A87" s="30"/>
      <c r="B87" s="10"/>
      <c r="C87" s="10"/>
      <c r="D87" s="10"/>
      <c r="E87" s="10"/>
      <c r="F87" s="10"/>
      <c r="H87" s="10"/>
    </row>
    <row r="88" spans="1:11" ht="15.75" customHeight="1" x14ac:dyDescent="0.25">
      <c r="A88" s="30"/>
      <c r="B88" s="10"/>
      <c r="C88" s="10"/>
      <c r="D88" s="10"/>
      <c r="F88" s="31"/>
      <c r="G88" s="10"/>
      <c r="H88" s="10"/>
      <c r="J88" s="14"/>
    </row>
    <row r="89" spans="1:11" ht="15.75" customHeight="1" x14ac:dyDescent="0.25">
      <c r="A89" s="30"/>
      <c r="B89" s="10"/>
      <c r="C89" s="10"/>
      <c r="D89" s="10"/>
      <c r="E89" s="10"/>
      <c r="F89" s="10"/>
      <c r="G89" s="10"/>
      <c r="H89" s="10"/>
    </row>
    <row r="90" spans="1:11" ht="15.75" customHeight="1" x14ac:dyDescent="0.25">
      <c r="A90" s="8"/>
      <c r="B90" s="10"/>
      <c r="C90" s="10"/>
      <c r="D90" s="10"/>
      <c r="E90" s="10"/>
      <c r="F90" s="31"/>
      <c r="G90" s="10"/>
      <c r="H90" s="10"/>
      <c r="I90" s="32"/>
    </row>
    <row r="91" spans="1:11" ht="15.75" customHeight="1" x14ac:dyDescent="0.25">
      <c r="A91" s="8"/>
      <c r="B91" s="10"/>
      <c r="C91" s="10"/>
      <c r="D91" s="10"/>
      <c r="E91" s="10"/>
      <c r="F91" s="10"/>
      <c r="G91" s="10"/>
      <c r="H91" s="10"/>
      <c r="I91" s="32"/>
    </row>
    <row r="92" spans="1:11" ht="15.75" customHeight="1" x14ac:dyDescent="0.25">
      <c r="A92" s="69"/>
      <c r="B92" s="70"/>
      <c r="C92" s="71"/>
      <c r="D92" s="72"/>
      <c r="G92" s="33"/>
      <c r="H92" s="34"/>
      <c r="I92" s="32"/>
    </row>
    <row r="93" spans="1:11" ht="15.75" customHeight="1" x14ac:dyDescent="0.25">
      <c r="B93" s="14"/>
      <c r="C93" s="36"/>
      <c r="D93" s="37"/>
      <c r="G93" s="10"/>
      <c r="H93" s="8"/>
      <c r="K93" s="14"/>
    </row>
    <row r="94" spans="1:11" ht="15.75" customHeight="1" x14ac:dyDescent="0.25">
      <c r="B94" s="14"/>
      <c r="C94" s="38"/>
      <c r="D94" s="39"/>
      <c r="E94" s="22"/>
      <c r="G94" s="10"/>
      <c r="H94" s="8"/>
      <c r="K94" s="14"/>
    </row>
    <row r="95" spans="1:11" ht="15.75" customHeight="1" x14ac:dyDescent="0.25">
      <c r="B95" s="14"/>
      <c r="C95" s="38"/>
      <c r="D95" s="39"/>
      <c r="E95" s="22"/>
      <c r="G95" s="10"/>
      <c r="H95" s="8"/>
      <c r="K95" s="14"/>
    </row>
    <row r="96" spans="1:11" ht="15.75" customHeight="1" x14ac:dyDescent="0.25">
      <c r="B96" s="14"/>
      <c r="C96" s="38"/>
      <c r="D96" s="39"/>
      <c r="E96" s="22"/>
      <c r="G96" s="10"/>
      <c r="H96" s="8"/>
      <c r="K96" s="14"/>
    </row>
    <row r="97" spans="2:11" ht="15.75" customHeight="1" x14ac:dyDescent="0.25">
      <c r="B97" s="14"/>
      <c r="C97" s="38"/>
      <c r="D97" s="39"/>
      <c r="G97" s="10"/>
      <c r="H97" s="8"/>
      <c r="K97" s="14"/>
    </row>
    <row r="98" spans="2:11" ht="15.75" customHeight="1" x14ac:dyDescent="0.25">
      <c r="B98" s="14"/>
      <c r="C98" s="38"/>
      <c r="D98" s="39"/>
      <c r="E98" s="73"/>
      <c r="F98" s="72"/>
      <c r="G98" s="10"/>
      <c r="H98" s="8"/>
      <c r="K98" s="14"/>
    </row>
    <row r="99" spans="2:11" ht="15.75" customHeight="1" x14ac:dyDescent="0.25">
      <c r="B99" s="14"/>
      <c r="C99" s="40"/>
      <c r="D99" s="41"/>
      <c r="E99" s="42"/>
      <c r="F99" s="43"/>
      <c r="G99" s="10"/>
      <c r="H99" s="8"/>
      <c r="K99" s="14"/>
    </row>
    <row r="100" spans="2:11" ht="15.75" customHeight="1" x14ac:dyDescent="0.25">
      <c r="B100" s="14"/>
      <c r="C100" s="44"/>
      <c r="F100" s="27"/>
      <c r="G100" s="10"/>
      <c r="H100" s="8"/>
      <c r="K100" s="14"/>
    </row>
    <row r="101" spans="2:11" ht="15.75" customHeight="1" x14ac:dyDescent="0.25">
      <c r="B101" s="14"/>
      <c r="C101" s="45"/>
      <c r="F101" s="27"/>
      <c r="G101" s="10"/>
      <c r="H101" s="8"/>
      <c r="K101" s="14"/>
    </row>
    <row r="102" spans="2:11" ht="15.75" customHeight="1" x14ac:dyDescent="0.25">
      <c r="B102" s="14"/>
      <c r="C102" s="14"/>
      <c r="F102" s="27"/>
      <c r="G102" s="10"/>
      <c r="H102" s="8"/>
      <c r="K102" s="14"/>
    </row>
    <row r="103" spans="2:11" ht="15.75" customHeight="1" x14ac:dyDescent="0.25">
      <c r="B103" s="14"/>
      <c r="C103" s="46"/>
      <c r="F103" s="27"/>
      <c r="G103" s="10"/>
      <c r="H103" s="8"/>
      <c r="K103" s="14"/>
    </row>
    <row r="104" spans="2:11" ht="15.75" customHeight="1" x14ac:dyDescent="0.25">
      <c r="B104" s="14"/>
      <c r="F104" s="27"/>
      <c r="G104" s="47"/>
      <c r="H104" s="8"/>
      <c r="K104" s="14"/>
    </row>
    <row r="105" spans="2:11" ht="15.75" customHeight="1" x14ac:dyDescent="0.25">
      <c r="B105" s="14"/>
      <c r="F105" s="27"/>
      <c r="G105" s="14"/>
      <c r="H105" s="8"/>
      <c r="K105" s="14"/>
    </row>
    <row r="106" spans="2:11" ht="15.75" customHeight="1" x14ac:dyDescent="0.25">
      <c r="B106" s="14"/>
      <c r="C106" s="33"/>
      <c r="D106" s="32"/>
      <c r="F106" s="27"/>
      <c r="G106" s="33"/>
      <c r="H106" s="8"/>
      <c r="K106" s="14"/>
    </row>
    <row r="107" spans="2:11" ht="15.75" customHeight="1" x14ac:dyDescent="0.25">
      <c r="B107" s="14"/>
      <c r="C107" s="45"/>
      <c r="D107" s="32"/>
      <c r="E107" s="14"/>
      <c r="G107" s="49"/>
      <c r="H107" s="8"/>
      <c r="K107" s="14"/>
    </row>
    <row r="108" spans="2:11" ht="15.75" customHeight="1" x14ac:dyDescent="0.25">
      <c r="B108" s="14"/>
      <c r="C108" s="14"/>
      <c r="D108" s="32"/>
      <c r="E108" s="14"/>
      <c r="F108" s="14"/>
      <c r="G108" s="49"/>
      <c r="H108" s="8"/>
      <c r="K108" s="14"/>
    </row>
    <row r="109" spans="2:11" ht="15.75" customHeight="1" x14ac:dyDescent="0.25">
      <c r="B109" s="46"/>
      <c r="C109" s="14"/>
      <c r="D109" s="32"/>
      <c r="E109" s="14"/>
      <c r="F109" s="14"/>
      <c r="G109" s="49"/>
      <c r="H109" s="8"/>
      <c r="K109" s="14"/>
    </row>
    <row r="110" spans="2:11" ht="15.75" customHeight="1" x14ac:dyDescent="0.25">
      <c r="C110" s="14"/>
      <c r="D110" s="32"/>
      <c r="E110" s="14"/>
      <c r="F110" s="14"/>
      <c r="G110" s="49"/>
      <c r="H110" s="8"/>
      <c r="K110" s="14"/>
    </row>
    <row r="111" spans="2:11" ht="15.75" customHeight="1" x14ac:dyDescent="0.25">
      <c r="C111" s="14"/>
      <c r="D111" s="32"/>
      <c r="E111" s="14"/>
      <c r="F111" s="14"/>
      <c r="G111" s="49"/>
      <c r="H111" s="8"/>
      <c r="K111" s="14"/>
    </row>
    <row r="112" spans="2:11" ht="15.75" customHeight="1" x14ac:dyDescent="0.25">
      <c r="C112" s="14"/>
      <c r="D112" s="32"/>
      <c r="E112" s="14"/>
      <c r="F112" s="14"/>
      <c r="G112" s="49"/>
      <c r="H112" s="8"/>
      <c r="K112" s="14"/>
    </row>
    <row r="113" spans="2:11" ht="15.75" customHeight="1" x14ac:dyDescent="0.25">
      <c r="C113" s="14"/>
      <c r="D113" s="32"/>
      <c r="E113" s="14"/>
      <c r="F113" s="14"/>
      <c r="G113" s="49"/>
      <c r="H113" s="8"/>
      <c r="K113" s="14"/>
    </row>
    <row r="114" spans="2:11" ht="15.75" customHeight="1" x14ac:dyDescent="0.25">
      <c r="C114" s="14"/>
      <c r="D114" s="32"/>
      <c r="E114" s="14"/>
      <c r="F114" s="14"/>
      <c r="G114" s="49"/>
      <c r="H114" s="8"/>
      <c r="K114" s="14"/>
    </row>
    <row r="115" spans="2:11" ht="15.75" customHeight="1" x14ac:dyDescent="0.25">
      <c r="C115" s="14"/>
      <c r="D115" s="32"/>
      <c r="E115" s="14"/>
      <c r="F115" s="14"/>
      <c r="G115" s="49"/>
      <c r="H115" s="8"/>
      <c r="K115" s="14"/>
    </row>
    <row r="116" spans="2:11" ht="15.75" customHeight="1" x14ac:dyDescent="0.25">
      <c r="C116" s="14"/>
      <c r="D116" s="32"/>
      <c r="E116" s="14"/>
      <c r="F116" s="14"/>
      <c r="G116" s="49"/>
      <c r="H116" s="8"/>
      <c r="K116" s="14"/>
    </row>
    <row r="117" spans="2:11" ht="15.75" customHeight="1" x14ac:dyDescent="0.25">
      <c r="C117" s="14"/>
      <c r="D117" s="32"/>
      <c r="E117" s="14"/>
      <c r="F117" s="14"/>
      <c r="G117" s="49"/>
      <c r="H117" s="8"/>
      <c r="K117" s="14"/>
    </row>
    <row r="118" spans="2:11" ht="15.75" customHeight="1" x14ac:dyDescent="0.25">
      <c r="B118" s="22"/>
      <c r="C118" s="14"/>
      <c r="D118" s="32"/>
      <c r="E118" s="14"/>
      <c r="F118" s="14"/>
      <c r="G118" s="49"/>
      <c r="H118" s="8"/>
      <c r="K118" s="14"/>
    </row>
    <row r="119" spans="2:11" ht="15.75" customHeight="1" x14ac:dyDescent="0.25">
      <c r="C119" s="14"/>
      <c r="D119" s="32"/>
      <c r="E119" s="14"/>
      <c r="F119" s="14"/>
      <c r="G119" s="49"/>
      <c r="H119" s="8"/>
      <c r="K119" s="14"/>
    </row>
    <row r="120" spans="2:11" ht="15.75" customHeight="1" x14ac:dyDescent="0.25">
      <c r="C120" s="14"/>
      <c r="D120" s="32"/>
      <c r="E120" s="14"/>
      <c r="F120" s="14"/>
      <c r="G120" s="49"/>
      <c r="H120" s="8"/>
      <c r="K120" s="14"/>
    </row>
    <row r="121" spans="2:11" ht="15.75" customHeight="1" x14ac:dyDescent="0.25">
      <c r="C121" s="14"/>
      <c r="D121" s="32"/>
      <c r="E121" s="14"/>
      <c r="F121" s="14"/>
      <c r="G121" s="49"/>
      <c r="H121" s="8"/>
      <c r="K121" s="14"/>
    </row>
    <row r="122" spans="2:11" ht="15.75" customHeight="1" x14ac:dyDescent="0.25">
      <c r="B122" s="14"/>
      <c r="C122" s="14"/>
      <c r="D122" s="32"/>
      <c r="E122" s="14"/>
      <c r="F122" s="14"/>
      <c r="G122" s="49"/>
      <c r="H122" s="8"/>
      <c r="K122" s="14"/>
    </row>
    <row r="123" spans="2:11" ht="15.75" customHeight="1" x14ac:dyDescent="0.25">
      <c r="B123" s="14"/>
      <c r="C123" s="14"/>
      <c r="D123" s="32"/>
      <c r="E123" s="14"/>
      <c r="F123" s="14"/>
      <c r="G123" s="49"/>
      <c r="H123" s="8"/>
      <c r="K123" s="14"/>
    </row>
    <row r="124" spans="2:11" ht="15.75" customHeight="1" x14ac:dyDescent="0.25">
      <c r="B124" s="14"/>
      <c r="C124" s="14"/>
      <c r="D124" s="32"/>
      <c r="E124" s="14"/>
      <c r="F124" s="14"/>
      <c r="G124" s="49"/>
      <c r="H124" s="8"/>
      <c r="K124" s="14"/>
    </row>
    <row r="125" spans="2:11" ht="15.75" customHeight="1" x14ac:dyDescent="0.25">
      <c r="B125" s="14"/>
      <c r="C125" s="22"/>
      <c r="H125" s="8"/>
    </row>
    <row r="126" spans="2:11" ht="15.75" customHeight="1" x14ac:dyDescent="0.25">
      <c r="B126" s="14"/>
      <c r="E126" s="14"/>
    </row>
    <row r="127" spans="2:11" ht="15.75" customHeight="1" x14ac:dyDescent="0.25">
      <c r="B127" s="14"/>
    </row>
    <row r="128" spans="2:11" ht="15.75" customHeight="1" x14ac:dyDescent="0.25">
      <c r="B128" s="14"/>
      <c r="E128" s="14"/>
    </row>
    <row r="129" spans="1:3" ht="15.75" customHeight="1" x14ac:dyDescent="0.25">
      <c r="B129" s="14"/>
    </row>
    <row r="130" spans="1:3" ht="15.75" customHeight="1" x14ac:dyDescent="0.25">
      <c r="B130" s="14"/>
    </row>
    <row r="131" spans="1:3" ht="15.75" customHeight="1" x14ac:dyDescent="0.25">
      <c r="B131" s="14"/>
      <c r="C131" s="22"/>
    </row>
    <row r="132" spans="1:3" ht="15.75" customHeight="1" x14ac:dyDescent="0.25">
      <c r="B132" s="14"/>
    </row>
    <row r="133" spans="1:3" ht="15.75" customHeight="1" x14ac:dyDescent="0.25">
      <c r="B133" s="14"/>
    </row>
    <row r="134" spans="1:3" ht="15.75" customHeight="1" x14ac:dyDescent="0.25">
      <c r="B134" s="14"/>
    </row>
    <row r="135" spans="1:3" ht="15.75" customHeight="1" x14ac:dyDescent="0.25">
      <c r="B135" s="14"/>
    </row>
    <row r="136" spans="1:3" ht="15.75" customHeight="1" x14ac:dyDescent="0.25">
      <c r="A136" s="22"/>
      <c r="B136" s="14"/>
    </row>
    <row r="137" spans="1:3" ht="15.75" customHeight="1" x14ac:dyDescent="0.25">
      <c r="A137" s="22"/>
      <c r="B137" s="14"/>
    </row>
    <row r="138" spans="1:3" ht="15.75" customHeight="1" x14ac:dyDescent="0.25">
      <c r="A138" s="51"/>
      <c r="B138" s="14"/>
    </row>
    <row r="139" spans="1:3" ht="15.75" customHeight="1" x14ac:dyDescent="0.25">
      <c r="A139" s="51"/>
      <c r="B139" s="14"/>
    </row>
    <row r="140" spans="1:3" ht="15.75" customHeight="1" x14ac:dyDescent="0.25">
      <c r="A140" s="51"/>
      <c r="B140" s="14"/>
    </row>
    <row r="141" spans="1:3" ht="15.75" customHeight="1" x14ac:dyDescent="0.25">
      <c r="A141" s="51"/>
      <c r="B141" s="14"/>
    </row>
    <row r="142" spans="1:3" ht="15.75" customHeight="1" x14ac:dyDescent="0.25">
      <c r="A142" s="51"/>
      <c r="B142" s="14"/>
    </row>
    <row r="143" spans="1:3" ht="15.75" customHeight="1" x14ac:dyDescent="0.25">
      <c r="A143" s="51"/>
      <c r="B143" s="14"/>
    </row>
    <row r="144" spans="1:3" ht="15.75" customHeight="1" x14ac:dyDescent="0.25">
      <c r="A144" s="51"/>
      <c r="B144" s="14"/>
    </row>
    <row r="145" spans="1:2" ht="15.75" customHeight="1" x14ac:dyDescent="0.25">
      <c r="A145" s="51"/>
      <c r="B145" s="14"/>
    </row>
    <row r="146" spans="1:2" ht="15.75" customHeight="1" x14ac:dyDescent="0.25">
      <c r="A146" s="51"/>
      <c r="B146" s="14"/>
    </row>
    <row r="147" spans="1:2" ht="15.75" customHeight="1" x14ac:dyDescent="0.25">
      <c r="A147" s="51"/>
      <c r="B147" s="14"/>
    </row>
    <row r="148" spans="1:2" ht="15.75" customHeight="1" x14ac:dyDescent="0.25">
      <c r="A148" s="51"/>
      <c r="B148" s="14"/>
    </row>
    <row r="149" spans="1:2" ht="15.75" customHeight="1" x14ac:dyDescent="0.25">
      <c r="A149" s="51"/>
      <c r="B149" s="14"/>
    </row>
    <row r="150" spans="1:2" ht="15.75" customHeight="1" x14ac:dyDescent="0.25">
      <c r="A150" s="51"/>
    </row>
    <row r="151" spans="1:2" ht="15.75" customHeight="1" x14ac:dyDescent="0.25">
      <c r="A151" s="51"/>
      <c r="B151" s="14"/>
    </row>
    <row r="152" spans="1:2" ht="15.75" customHeight="1" x14ac:dyDescent="0.25">
      <c r="A152" s="51"/>
    </row>
    <row r="153" spans="1:2" ht="15.75" customHeight="1" x14ac:dyDescent="0.25">
      <c r="A153" s="51"/>
    </row>
    <row r="154" spans="1:2" ht="15.75" customHeight="1" x14ac:dyDescent="0.25"/>
    <row r="155" spans="1:2" ht="15.75" customHeight="1" x14ac:dyDescent="0.25"/>
    <row r="156" spans="1:2" ht="15.75" customHeight="1" x14ac:dyDescent="0.25"/>
    <row r="157" spans="1:2" ht="15.75" customHeight="1" x14ac:dyDescent="0.25"/>
    <row r="158" spans="1:2" ht="15.75" customHeight="1" x14ac:dyDescent="0.25"/>
    <row r="159" spans="1:2" ht="15.75" customHeight="1" x14ac:dyDescent="0.25"/>
    <row r="160" spans="1:2" ht="15.75" customHeight="1" x14ac:dyDescent="0.25"/>
    <row r="161" spans="1:1" ht="15.75" customHeight="1" x14ac:dyDescent="0.25"/>
    <row r="162" spans="1:1" ht="15.75" customHeight="1" x14ac:dyDescent="0.25"/>
    <row r="163" spans="1:1" ht="15.75" customHeight="1" x14ac:dyDescent="0.25"/>
    <row r="164" spans="1:1" ht="15.75" customHeight="1" x14ac:dyDescent="0.25"/>
    <row r="165" spans="1:1" ht="15.75" customHeight="1" x14ac:dyDescent="0.25"/>
    <row r="166" spans="1:1" ht="15.75" customHeight="1" x14ac:dyDescent="0.25"/>
    <row r="167" spans="1:1" ht="15.75" customHeight="1" x14ac:dyDescent="0.25">
      <c r="A167" s="51"/>
    </row>
    <row r="168" spans="1:1" ht="15.75" customHeight="1" x14ac:dyDescent="0.25"/>
    <row r="169" spans="1:1" ht="15.75" customHeight="1" x14ac:dyDescent="0.25"/>
    <row r="170" spans="1:1" ht="15.75" customHeight="1" x14ac:dyDescent="0.25"/>
    <row r="171" spans="1:1" ht="15.75" customHeight="1" x14ac:dyDescent="0.25"/>
    <row r="172" spans="1:1" ht="15.75" customHeight="1" x14ac:dyDescent="0.25"/>
    <row r="173" spans="1:1" ht="15.75" customHeight="1" x14ac:dyDescent="0.25"/>
    <row r="174" spans="1:1" ht="15.75" customHeight="1" x14ac:dyDescent="0.25"/>
    <row r="175" spans="1:1" ht="15.75" customHeight="1" x14ac:dyDescent="0.25"/>
    <row r="176" spans="1:1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1:A12"/>
    <mergeCell ref="A92:B92"/>
    <mergeCell ref="C92:D92"/>
    <mergeCell ref="E98:F98"/>
  </mergeCells>
  <printOptions gridLines="1"/>
  <pageMargins left="0.7" right="0.7" top="0.75" bottom="0.75" header="0" footer="0"/>
  <pageSetup orientation="landscape"/>
  <rowBreaks count="2" manualBreakCount="2">
    <brk id="38" man="1"/>
    <brk id="7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1000"/>
  <sheetViews>
    <sheetView workbookViewId="0"/>
  </sheetViews>
  <sheetFormatPr defaultColWidth="14.42578125" defaultRowHeight="15" customHeight="1" x14ac:dyDescent="0.25"/>
  <cols>
    <col min="1" max="1" width="16.7109375" customWidth="1"/>
    <col min="3" max="3" width="16" customWidth="1"/>
    <col min="4" max="4" width="16.140625" customWidth="1"/>
    <col min="5" max="5" width="16.7109375" customWidth="1"/>
    <col min="6" max="6" width="13.28515625" customWidth="1"/>
    <col min="7" max="7" width="14.5703125" customWidth="1"/>
    <col min="9" max="9" width="14.140625" customWidth="1"/>
    <col min="10" max="10" width="12.85546875" customWidth="1"/>
    <col min="11" max="11" width="12.5703125" customWidth="1"/>
    <col min="12" max="12" width="8.7109375" customWidth="1"/>
    <col min="13" max="13" width="13.42578125" customWidth="1"/>
    <col min="14" max="26" width="8.7109375" customWidth="1"/>
  </cols>
  <sheetData>
    <row r="1" spans="1:26" x14ac:dyDescent="0.25">
      <c r="A1" s="1" t="s">
        <v>136</v>
      </c>
      <c r="B1" s="1"/>
      <c r="C1" s="1"/>
      <c r="D1" s="1"/>
      <c r="E1" s="1"/>
      <c r="F1" s="1"/>
      <c r="G1" s="1"/>
    </row>
    <row r="2" spans="1:26" x14ac:dyDescent="0.25">
      <c r="A2" s="2" t="s">
        <v>1</v>
      </c>
      <c r="B2" s="3" t="s">
        <v>2</v>
      </c>
      <c r="C2" s="4" t="s">
        <v>137</v>
      </c>
      <c r="D2" s="4" t="s">
        <v>138</v>
      </c>
      <c r="E2" s="4" t="s">
        <v>139</v>
      </c>
      <c r="F2" s="4" t="s">
        <v>140</v>
      </c>
      <c r="G2" s="4" t="s">
        <v>60</v>
      </c>
      <c r="H2" s="4" t="s">
        <v>141</v>
      </c>
      <c r="I2" s="4" t="s">
        <v>142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39" x14ac:dyDescent="0.25">
      <c r="A3" s="6" t="s">
        <v>14</v>
      </c>
      <c r="B3" s="6" t="s">
        <v>15</v>
      </c>
      <c r="C3" s="7" t="s">
        <v>143</v>
      </c>
      <c r="D3" s="7" t="s">
        <v>144</v>
      </c>
      <c r="E3" s="7" t="s">
        <v>145</v>
      </c>
      <c r="F3" s="7" t="s">
        <v>146</v>
      </c>
      <c r="G3" s="7" t="s">
        <v>28</v>
      </c>
      <c r="H3" s="7" t="s">
        <v>147</v>
      </c>
      <c r="I3" s="7" t="s">
        <v>148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x14ac:dyDescent="0.25">
      <c r="A4" s="8" t="s">
        <v>28</v>
      </c>
      <c r="B4" s="9">
        <v>349.36000000000786</v>
      </c>
      <c r="C4" s="10"/>
      <c r="D4" s="10"/>
      <c r="E4" s="10"/>
      <c r="F4" s="10"/>
      <c r="G4" s="10">
        <v>349.36000000000786</v>
      </c>
      <c r="H4" s="10"/>
      <c r="I4" s="10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x14ac:dyDescent="0.25">
      <c r="A5" s="8" t="s">
        <v>29</v>
      </c>
      <c r="B5" s="9">
        <v>1846000.0699999991</v>
      </c>
      <c r="C5" s="12">
        <v>983260.30999999936</v>
      </c>
      <c r="D5" s="12">
        <v>875392.95999999985</v>
      </c>
      <c r="E5" s="12">
        <v>-70608.389999999898</v>
      </c>
      <c r="F5" s="12">
        <v>61603.379999999946</v>
      </c>
      <c r="G5" s="10"/>
      <c r="H5" s="10">
        <v>25000</v>
      </c>
      <c r="I5" s="10">
        <v>-28648.1899999999</v>
      </c>
      <c r="J5" s="13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x14ac:dyDescent="0.25">
      <c r="A6" s="8" t="s">
        <v>149</v>
      </c>
      <c r="B6" s="9">
        <v>191918.89000000004</v>
      </c>
      <c r="C6" s="10">
        <v>19085.869999999995</v>
      </c>
      <c r="E6" s="10">
        <v>172833.02000000005</v>
      </c>
      <c r="F6" s="10"/>
      <c r="G6" s="10"/>
      <c r="H6" s="10"/>
      <c r="I6" s="10"/>
    </row>
    <row r="7" spans="1:26" x14ac:dyDescent="0.25">
      <c r="A7" s="8" t="s">
        <v>150</v>
      </c>
      <c r="B7" s="9">
        <v>127125.15000000002</v>
      </c>
      <c r="C7" s="10"/>
      <c r="D7" s="10">
        <v>127125.15000000002</v>
      </c>
      <c r="E7" s="10"/>
      <c r="F7" s="10"/>
      <c r="G7" s="10"/>
      <c r="H7" s="10"/>
      <c r="I7" s="10"/>
      <c r="J7" s="14"/>
    </row>
    <row r="8" spans="1:26" x14ac:dyDescent="0.25">
      <c r="A8" s="8"/>
      <c r="B8" s="9"/>
      <c r="C8" s="10"/>
      <c r="D8" s="10"/>
      <c r="E8" s="10"/>
      <c r="F8" s="10"/>
      <c r="G8" s="10"/>
      <c r="H8" s="10"/>
      <c r="I8" s="10"/>
      <c r="J8" s="14"/>
      <c r="V8" s="5"/>
      <c r="W8" s="5"/>
    </row>
    <row r="9" spans="1:26" x14ac:dyDescent="0.25">
      <c r="A9" s="1" t="s">
        <v>32</v>
      </c>
      <c r="B9" s="15">
        <f t="shared" ref="B9:I9" si="0">SUM(B4:B8)</f>
        <v>2165393.4699999993</v>
      </c>
      <c r="C9" s="15">
        <f t="shared" si="0"/>
        <v>1002346.1799999994</v>
      </c>
      <c r="D9" s="15">
        <f t="shared" si="0"/>
        <v>1002518.1099999999</v>
      </c>
      <c r="E9" s="15">
        <f t="shared" si="0"/>
        <v>102224.63000000015</v>
      </c>
      <c r="F9" s="15">
        <f t="shared" si="0"/>
        <v>61603.379999999946</v>
      </c>
      <c r="G9" s="15">
        <f t="shared" si="0"/>
        <v>349.36000000000786</v>
      </c>
      <c r="H9" s="15">
        <f t="shared" si="0"/>
        <v>25000</v>
      </c>
      <c r="I9" s="15">
        <f t="shared" si="0"/>
        <v>-28648.1899999999</v>
      </c>
      <c r="V9" s="5"/>
      <c r="W9" s="5"/>
    </row>
    <row r="10" spans="1:26" x14ac:dyDescent="0.25">
      <c r="A10" s="1"/>
      <c r="B10" s="9"/>
      <c r="C10" s="9"/>
      <c r="D10" s="9"/>
      <c r="E10" s="9"/>
      <c r="F10" s="9"/>
      <c r="G10" s="9"/>
      <c r="H10" s="9"/>
      <c r="I10" s="9"/>
      <c r="J10" s="14"/>
      <c r="V10" s="5"/>
      <c r="W10" s="5"/>
    </row>
    <row r="11" spans="1:26" x14ac:dyDescent="0.25">
      <c r="A11" s="67" t="s">
        <v>33</v>
      </c>
      <c r="B11" s="16"/>
      <c r="C11" s="17" t="s">
        <v>137</v>
      </c>
      <c r="D11" s="17" t="s">
        <v>138</v>
      </c>
      <c r="E11" s="17" t="s">
        <v>139</v>
      </c>
      <c r="F11" s="17" t="s">
        <v>140</v>
      </c>
      <c r="G11" s="17" t="s">
        <v>60</v>
      </c>
      <c r="H11" s="17" t="s">
        <v>141</v>
      </c>
      <c r="I11" s="17" t="s">
        <v>142</v>
      </c>
      <c r="V11" s="5"/>
      <c r="W11" s="5"/>
    </row>
    <row r="12" spans="1:26" x14ac:dyDescent="0.25">
      <c r="A12" s="68"/>
      <c r="B12" s="16">
        <f>SUM(C12:I12)</f>
        <v>1846000.0699999991</v>
      </c>
      <c r="C12" s="18">
        <f t="shared" ref="C12:F12" si="1">C5</f>
        <v>983260.30999999936</v>
      </c>
      <c r="D12" s="18">
        <f t="shared" si="1"/>
        <v>875392.95999999985</v>
      </c>
      <c r="E12" s="18">
        <f t="shared" si="1"/>
        <v>-70608.389999999898</v>
      </c>
      <c r="F12" s="18">
        <f t="shared" si="1"/>
        <v>61603.379999999946</v>
      </c>
      <c r="G12" s="18"/>
      <c r="H12" s="18">
        <f t="shared" ref="H12:I12" si="2">H5</f>
        <v>25000</v>
      </c>
      <c r="I12" s="18">
        <f t="shared" si="2"/>
        <v>-28648.1899999999</v>
      </c>
      <c r="J12" s="14"/>
      <c r="V12" s="5"/>
      <c r="W12" s="5"/>
    </row>
    <row r="13" spans="1:26" x14ac:dyDescent="0.25">
      <c r="A13" s="19" t="s">
        <v>39</v>
      </c>
      <c r="B13" s="9"/>
      <c r="C13" s="10"/>
      <c r="D13" s="10"/>
      <c r="E13" s="10"/>
      <c r="F13" s="10"/>
      <c r="G13" s="10"/>
      <c r="H13" s="10"/>
      <c r="I13" s="10"/>
      <c r="V13" s="5"/>
      <c r="W13" s="5"/>
    </row>
    <row r="14" spans="1:26" x14ac:dyDescent="0.25">
      <c r="A14" s="20" t="s">
        <v>122</v>
      </c>
      <c r="B14" s="10"/>
      <c r="C14" s="10">
        <v>11692.05</v>
      </c>
      <c r="D14" s="10">
        <v>151721.56</v>
      </c>
      <c r="E14" s="10">
        <v>86626.32</v>
      </c>
      <c r="F14" s="10"/>
      <c r="H14" s="10"/>
      <c r="I14" s="10"/>
      <c r="J14" s="14"/>
      <c r="V14" s="5"/>
      <c r="W14" s="5"/>
    </row>
    <row r="15" spans="1:26" x14ac:dyDescent="0.25">
      <c r="A15" s="20" t="s">
        <v>41</v>
      </c>
      <c r="B15" s="10"/>
      <c r="C15" s="10"/>
      <c r="D15" s="10"/>
      <c r="E15" s="10"/>
      <c r="F15" s="10"/>
      <c r="V15" s="5"/>
      <c r="W15" s="5"/>
    </row>
    <row r="16" spans="1:26" x14ac:dyDescent="0.25">
      <c r="A16" s="21" t="s">
        <v>42</v>
      </c>
      <c r="B16" s="10"/>
      <c r="C16" s="10"/>
      <c r="D16" s="10"/>
      <c r="E16" s="10"/>
      <c r="F16" s="10"/>
      <c r="G16" s="10"/>
      <c r="H16" s="10"/>
      <c r="I16" s="10"/>
      <c r="J16" s="14"/>
      <c r="V16" s="5"/>
      <c r="W16" s="5"/>
    </row>
    <row r="17" spans="1:26" x14ac:dyDescent="0.25">
      <c r="A17" s="21" t="s">
        <v>43</v>
      </c>
      <c r="B17" s="10"/>
      <c r="C17" s="10"/>
      <c r="D17" s="10"/>
      <c r="E17" s="10"/>
      <c r="F17" s="10"/>
      <c r="G17" s="10"/>
      <c r="H17" s="10"/>
      <c r="I17" s="10"/>
      <c r="J17" s="22"/>
      <c r="K17" s="22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5"/>
      <c r="W17" s="5"/>
      <c r="X17" s="23"/>
      <c r="Y17" s="23"/>
      <c r="Z17" s="23"/>
    </row>
    <row r="18" spans="1:26" x14ac:dyDescent="0.25">
      <c r="A18" s="21" t="s">
        <v>44</v>
      </c>
      <c r="B18" s="10"/>
      <c r="C18" s="10"/>
      <c r="D18" s="10"/>
      <c r="E18" s="10"/>
      <c r="F18" s="10">
        <v>31872.5</v>
      </c>
      <c r="G18" s="10"/>
      <c r="H18" s="10"/>
      <c r="I18" s="10"/>
      <c r="J18" s="22"/>
      <c r="K18" s="22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5"/>
      <c r="W18" s="5"/>
      <c r="X18" s="23"/>
      <c r="Y18" s="23"/>
      <c r="Z18" s="23"/>
    </row>
    <row r="19" spans="1:26" x14ac:dyDescent="0.25">
      <c r="A19" s="21" t="s">
        <v>45</v>
      </c>
      <c r="B19" s="10"/>
      <c r="C19" s="10"/>
      <c r="D19" s="10">
        <v>340000</v>
      </c>
      <c r="E19" s="10"/>
      <c r="F19" s="10"/>
      <c r="G19" s="10"/>
      <c r="H19" s="10"/>
      <c r="I19" s="10"/>
      <c r="V19" s="5"/>
      <c r="W19" s="5"/>
    </row>
    <row r="20" spans="1:26" x14ac:dyDescent="0.25">
      <c r="A20" s="21" t="s">
        <v>46</v>
      </c>
      <c r="B20" s="10"/>
      <c r="C20" s="10"/>
      <c r="D20" s="10">
        <f>315.09+14.85</f>
        <v>329.94</v>
      </c>
      <c r="E20" s="10"/>
      <c r="G20" s="10"/>
      <c r="H20" s="10"/>
      <c r="I20" s="10"/>
      <c r="V20" s="5"/>
      <c r="W20" s="5"/>
    </row>
    <row r="21" spans="1:26" ht="15.75" customHeight="1" x14ac:dyDescent="0.25">
      <c r="A21" s="21" t="s">
        <v>47</v>
      </c>
      <c r="B21" s="10"/>
      <c r="C21" s="10">
        <v>117.23</v>
      </c>
      <c r="D21" s="10">
        <v>207.99</v>
      </c>
      <c r="E21" s="10">
        <v>52.94</v>
      </c>
      <c r="F21" s="10"/>
      <c r="H21" s="24"/>
      <c r="I21" s="10"/>
      <c r="J21" s="25"/>
      <c r="K21" s="25"/>
      <c r="L21" s="25"/>
      <c r="V21" s="5"/>
      <c r="W21" s="5"/>
    </row>
    <row r="22" spans="1:26" ht="15.75" customHeight="1" x14ac:dyDescent="0.25">
      <c r="A22" s="1" t="s">
        <v>48</v>
      </c>
      <c r="B22" s="26">
        <f>SUM(C22:I22)</f>
        <v>622620.53</v>
      </c>
      <c r="C22" s="9">
        <f t="shared" ref="C22:I22" si="3">SUM(C14:C21)</f>
        <v>11809.279999999999</v>
      </c>
      <c r="D22" s="9">
        <f t="shared" si="3"/>
        <v>492259.49</v>
      </c>
      <c r="E22" s="9">
        <f t="shared" si="3"/>
        <v>86679.260000000009</v>
      </c>
      <c r="F22" s="9">
        <f t="shared" si="3"/>
        <v>31872.5</v>
      </c>
      <c r="G22" s="9">
        <f t="shared" si="3"/>
        <v>0</v>
      </c>
      <c r="H22" s="9">
        <f t="shared" si="3"/>
        <v>0</v>
      </c>
      <c r="I22" s="9">
        <f t="shared" si="3"/>
        <v>0</v>
      </c>
      <c r="J22" s="10"/>
      <c r="K22" s="10"/>
      <c r="L22" s="10"/>
      <c r="V22" s="5"/>
      <c r="W22" s="5"/>
    </row>
    <row r="23" spans="1:26" ht="15.75" customHeight="1" x14ac:dyDescent="0.25">
      <c r="A23" s="1" t="s">
        <v>49</v>
      </c>
      <c r="B23" s="26">
        <f>SUM(C23:G23)</f>
        <v>7656.02</v>
      </c>
      <c r="C23" s="10">
        <v>4078.61</v>
      </c>
      <c r="D23" s="10">
        <v>3511.09</v>
      </c>
      <c r="E23" s="10">
        <v>66.319999999999993</v>
      </c>
      <c r="F23" s="10"/>
      <c r="G23" s="21"/>
      <c r="H23" s="21"/>
      <c r="I23" s="21"/>
      <c r="J23" s="10"/>
      <c r="K23" s="10"/>
      <c r="L23" s="10"/>
      <c r="V23" s="5"/>
      <c r="W23" s="5"/>
    </row>
    <row r="24" spans="1:26" ht="15.75" customHeight="1" x14ac:dyDescent="0.25">
      <c r="A24" s="1" t="s">
        <v>50</v>
      </c>
      <c r="B24" s="9">
        <f>C24+D24+E24+H24+F24+I24</f>
        <v>150987.69</v>
      </c>
      <c r="C24" s="10">
        <v>29855.09</v>
      </c>
      <c r="D24" s="10">
        <v>68683.28</v>
      </c>
      <c r="E24" s="10">
        <v>18693.77</v>
      </c>
      <c r="F24" s="10">
        <v>28861.040000000001</v>
      </c>
      <c r="G24" s="10"/>
      <c r="H24" s="10"/>
      <c r="I24" s="10">
        <v>4894.51</v>
      </c>
      <c r="J24" s="14"/>
      <c r="K24" s="14"/>
      <c r="L24" s="14"/>
      <c r="M24" s="14"/>
      <c r="V24" s="5"/>
      <c r="W24" s="5"/>
    </row>
    <row r="25" spans="1:26" ht="15.75" customHeight="1" x14ac:dyDescent="0.25">
      <c r="A25" s="1" t="s">
        <v>51</v>
      </c>
      <c r="B25" s="9">
        <f>C25+D25+E25+F25+H25</f>
        <v>904.04</v>
      </c>
      <c r="C25" s="10">
        <v>90.4</v>
      </c>
      <c r="D25" s="10">
        <v>632.83000000000004</v>
      </c>
      <c r="E25" s="10">
        <v>180.81</v>
      </c>
      <c r="F25" s="10"/>
      <c r="G25" s="10"/>
      <c r="H25" s="10"/>
      <c r="I25" s="10"/>
      <c r="J25" s="14"/>
      <c r="K25" s="14"/>
      <c r="L25" s="14"/>
      <c r="M25" s="14"/>
      <c r="V25" s="5"/>
      <c r="W25" s="5"/>
    </row>
    <row r="26" spans="1:26" ht="15.75" customHeight="1" x14ac:dyDescent="0.25">
      <c r="A26" s="1" t="s">
        <v>46</v>
      </c>
      <c r="B26" s="9"/>
      <c r="C26" s="10"/>
      <c r="D26" s="10">
        <v>5112.46</v>
      </c>
      <c r="E26" s="10"/>
      <c r="F26" s="10"/>
      <c r="G26" s="10"/>
      <c r="H26" s="10"/>
      <c r="I26" s="10"/>
      <c r="J26" s="14"/>
      <c r="K26" s="14"/>
      <c r="L26" s="14"/>
      <c r="M26" s="14"/>
      <c r="V26" s="5"/>
      <c r="W26" s="5"/>
    </row>
    <row r="27" spans="1:26" ht="15.75" customHeight="1" x14ac:dyDescent="0.25">
      <c r="A27" s="1" t="s">
        <v>52</v>
      </c>
      <c r="B27" s="9"/>
      <c r="C27" s="10"/>
      <c r="D27" s="10">
        <v>1200</v>
      </c>
      <c r="E27" s="10"/>
      <c r="F27" s="10"/>
      <c r="G27" s="10"/>
      <c r="H27" s="10"/>
      <c r="I27" s="10"/>
      <c r="M27" s="14"/>
      <c r="V27" s="5"/>
    </row>
    <row r="28" spans="1:26" ht="15.75" customHeight="1" x14ac:dyDescent="0.25">
      <c r="A28" s="1" t="s">
        <v>53</v>
      </c>
      <c r="B28" s="9"/>
      <c r="C28" s="10"/>
      <c r="D28" s="10"/>
      <c r="E28" s="10"/>
      <c r="F28" s="10"/>
      <c r="G28" s="10"/>
      <c r="H28" s="10"/>
      <c r="I28" s="10"/>
      <c r="M28" s="14"/>
      <c r="V28" s="5"/>
    </row>
    <row r="29" spans="1:26" ht="15.75" customHeight="1" x14ac:dyDescent="0.25">
      <c r="A29" s="1" t="s">
        <v>54</v>
      </c>
      <c r="B29" s="9"/>
      <c r="C29" s="10"/>
      <c r="D29" s="10"/>
      <c r="E29" s="10"/>
      <c r="F29" s="10"/>
      <c r="G29" s="10"/>
      <c r="H29" s="10"/>
      <c r="I29" s="10"/>
      <c r="M29" s="14"/>
      <c r="V29" s="5"/>
    </row>
    <row r="30" spans="1:26" ht="15.75" customHeight="1" x14ac:dyDescent="0.25">
      <c r="A30" s="1" t="s">
        <v>47</v>
      </c>
      <c r="B30" s="9"/>
      <c r="C30" s="10"/>
      <c r="D30" s="10"/>
      <c r="E30" s="10"/>
      <c r="F30" s="10"/>
      <c r="G30" s="10"/>
      <c r="H30" s="10"/>
      <c r="I30" s="10"/>
      <c r="M30" s="14"/>
      <c r="X30" s="27"/>
    </row>
    <row r="31" spans="1:26" ht="15.75" customHeight="1" x14ac:dyDescent="0.25">
      <c r="A31" s="1" t="s">
        <v>55</v>
      </c>
      <c r="B31" s="26">
        <f>SUM(C31:I31)</f>
        <v>158204.19000000003</v>
      </c>
      <c r="C31" s="10">
        <f t="shared" ref="C31:I31" si="4">SUM(C24:C30)</f>
        <v>29945.49</v>
      </c>
      <c r="D31" s="10">
        <f t="shared" si="4"/>
        <v>75628.570000000007</v>
      </c>
      <c r="E31" s="10">
        <f t="shared" si="4"/>
        <v>18874.580000000002</v>
      </c>
      <c r="F31" s="10">
        <f t="shared" si="4"/>
        <v>28861.040000000001</v>
      </c>
      <c r="G31" s="10">
        <f t="shared" si="4"/>
        <v>0</v>
      </c>
      <c r="H31" s="10">
        <f t="shared" si="4"/>
        <v>0</v>
      </c>
      <c r="I31" s="10">
        <f t="shared" si="4"/>
        <v>4894.51</v>
      </c>
      <c r="M31" s="14"/>
    </row>
    <row r="32" spans="1:26" ht="15.75" customHeight="1" x14ac:dyDescent="0.25">
      <c r="A32" s="1" t="s">
        <v>56</v>
      </c>
      <c r="B32" s="26">
        <f>C32+E32+D32</f>
        <v>22763.39</v>
      </c>
      <c r="C32" s="10">
        <f>8631.83-1034.92</f>
        <v>7596.91</v>
      </c>
      <c r="D32" s="10">
        <f>9804.66+714.79</f>
        <v>10519.45</v>
      </c>
      <c r="E32" s="10">
        <f>4326.9+320.13</f>
        <v>4647.03</v>
      </c>
      <c r="F32" s="10"/>
      <c r="H32" s="25"/>
      <c r="I32" s="25"/>
    </row>
    <row r="33" spans="1:10" ht="15.75" customHeight="1" x14ac:dyDescent="0.25">
      <c r="A33" s="1" t="s">
        <v>56</v>
      </c>
      <c r="B33" s="26">
        <f t="shared" ref="B33:B35" si="5">SUM(C33:G33)</f>
        <v>25712.93</v>
      </c>
      <c r="C33" s="10">
        <f>10688.55+1043.53-1023.39</f>
        <v>10708.69</v>
      </c>
      <c r="D33" s="10">
        <f>8602.79+686.67+675.38</f>
        <v>9964.84</v>
      </c>
      <c r="E33" s="10">
        <f>4519.73+171.66+348.01</f>
        <v>5039.3999999999996</v>
      </c>
    </row>
    <row r="34" spans="1:10" ht="15.75" customHeight="1" x14ac:dyDescent="0.25">
      <c r="A34" s="1" t="s">
        <v>56</v>
      </c>
      <c r="B34" s="26">
        <f t="shared" si="5"/>
        <v>0</v>
      </c>
      <c r="C34" s="10"/>
      <c r="D34" s="10"/>
      <c r="E34" s="10"/>
    </row>
    <row r="35" spans="1:10" ht="15.75" customHeight="1" x14ac:dyDescent="0.25">
      <c r="A35" s="1" t="s">
        <v>56</v>
      </c>
      <c r="B35" s="26">
        <f t="shared" si="5"/>
        <v>0</v>
      </c>
      <c r="C35" s="10"/>
      <c r="D35" s="10"/>
      <c r="E35" s="10"/>
    </row>
    <row r="36" spans="1:10" ht="15.75" customHeight="1" x14ac:dyDescent="0.25">
      <c r="A36" s="1" t="s">
        <v>57</v>
      </c>
      <c r="B36" s="15">
        <f>SUM(C36:I36)</f>
        <v>2269596.1099999994</v>
      </c>
      <c r="C36" s="12">
        <f t="shared" ref="C36:E36" si="6">C12+C22+C23-C33-C31-C32-C34-C35</f>
        <v>950897.1099999994</v>
      </c>
      <c r="D36" s="12">
        <f t="shared" si="6"/>
        <v>1275050.6799999997</v>
      </c>
      <c r="E36" s="12">
        <f t="shared" si="6"/>
        <v>-12423.819999999891</v>
      </c>
      <c r="F36" s="12">
        <f>F12+F22+F23-F33-F31-F32-F34</f>
        <v>64614.839999999946</v>
      </c>
      <c r="G36" s="12">
        <f>B59-G31</f>
        <v>0</v>
      </c>
      <c r="H36" s="12">
        <f t="shared" ref="H36:I36" si="7">H12+H22+H23-H33-H31-H32-H34</f>
        <v>25000</v>
      </c>
      <c r="I36" s="12">
        <f t="shared" si="7"/>
        <v>-33542.699999999903</v>
      </c>
    </row>
    <row r="37" spans="1:10" ht="15.75" customHeight="1" x14ac:dyDescent="0.25">
      <c r="A37" s="1" t="s">
        <v>151</v>
      </c>
      <c r="B37" s="9">
        <f>C37+D37+E37+F37+H37+G37+I37</f>
        <v>2269596.11</v>
      </c>
      <c r="C37" s="12">
        <v>950897.11</v>
      </c>
      <c r="D37" s="12">
        <v>1275050.68</v>
      </c>
      <c r="E37" s="12">
        <v>-12423.82</v>
      </c>
      <c r="F37" s="12">
        <v>64614.84</v>
      </c>
      <c r="G37" s="12">
        <v>0</v>
      </c>
      <c r="H37" s="12">
        <v>25000</v>
      </c>
      <c r="I37" s="12">
        <v>-33542.699999999997</v>
      </c>
    </row>
    <row r="38" spans="1:10" ht="15.75" customHeight="1" x14ac:dyDescent="0.25">
      <c r="A38" s="1" t="s">
        <v>59</v>
      </c>
      <c r="B38" s="9">
        <f t="shared" ref="B38:I38" si="8">B37-B36</f>
        <v>0</v>
      </c>
      <c r="C38" s="9">
        <f t="shared" si="8"/>
        <v>0</v>
      </c>
      <c r="D38" s="9">
        <f t="shared" si="8"/>
        <v>0</v>
      </c>
      <c r="E38" s="9">
        <f t="shared" si="8"/>
        <v>-1.0913936421275139E-10</v>
      </c>
      <c r="F38" s="9">
        <f t="shared" si="8"/>
        <v>0</v>
      </c>
      <c r="G38" s="9">
        <f t="shared" si="8"/>
        <v>0</v>
      </c>
      <c r="H38" s="9">
        <f t="shared" si="8"/>
        <v>0</v>
      </c>
      <c r="I38" s="9">
        <f t="shared" si="8"/>
        <v>-9.4587448984384537E-11</v>
      </c>
      <c r="J38" s="12"/>
    </row>
    <row r="39" spans="1:10" ht="15.75" customHeight="1" x14ac:dyDescent="0.25">
      <c r="A39" s="28"/>
      <c r="B39" s="16"/>
      <c r="C39" s="17"/>
      <c r="D39" s="17"/>
      <c r="E39" s="17"/>
      <c r="F39" s="17"/>
      <c r="G39" s="17" t="s">
        <v>60</v>
      </c>
      <c r="H39" s="17"/>
      <c r="I39" s="17"/>
    </row>
    <row r="40" spans="1:10" ht="15.75" customHeight="1" x14ac:dyDescent="0.25">
      <c r="A40" s="29" t="s">
        <v>61</v>
      </c>
      <c r="B40" s="16">
        <f>G4</f>
        <v>349.36000000000786</v>
      </c>
      <c r="C40" s="17" t="s">
        <v>137</v>
      </c>
      <c r="D40" s="17" t="s">
        <v>138</v>
      </c>
      <c r="E40" s="17" t="s">
        <v>139</v>
      </c>
      <c r="F40" s="17" t="s">
        <v>140</v>
      </c>
      <c r="G40" s="58">
        <f>G4</f>
        <v>349.36000000000786</v>
      </c>
      <c r="H40" s="17" t="s">
        <v>141</v>
      </c>
      <c r="I40" s="17" t="s">
        <v>142</v>
      </c>
    </row>
    <row r="41" spans="1:10" ht="15.75" customHeight="1" x14ac:dyDescent="0.25">
      <c r="A41" s="19" t="s">
        <v>62</v>
      </c>
      <c r="B41" s="10">
        <f>C41+E41+D41</f>
        <v>22763.39</v>
      </c>
      <c r="C41" s="10">
        <f>8631.83-1034.92</f>
        <v>7596.91</v>
      </c>
      <c r="D41" s="10">
        <f>9804.66+714.79</f>
        <v>10519.45</v>
      </c>
      <c r="E41" s="10">
        <f>4326.9+320.13</f>
        <v>4647.03</v>
      </c>
      <c r="F41" s="10"/>
      <c r="H41" s="25"/>
      <c r="I41" s="25"/>
    </row>
    <row r="42" spans="1:10" ht="15.75" customHeight="1" x14ac:dyDescent="0.25">
      <c r="A42" s="10"/>
      <c r="B42" s="10">
        <f t="shared" ref="B42:B45" si="9">C42+D42+E42</f>
        <v>25712.93</v>
      </c>
      <c r="C42" s="10">
        <f>10688.55+1043.53-1023.39</f>
        <v>10708.69</v>
      </c>
      <c r="D42" s="10">
        <f>8602.79+686.67+675.38</f>
        <v>9964.84</v>
      </c>
      <c r="E42" s="10">
        <f>4519.73+171.66+348.01</f>
        <v>5039.3999999999996</v>
      </c>
      <c r="H42" s="25"/>
      <c r="I42" s="25"/>
    </row>
    <row r="43" spans="1:10" ht="15.75" customHeight="1" x14ac:dyDescent="0.25">
      <c r="A43" s="21"/>
      <c r="B43" s="10">
        <f t="shared" si="9"/>
        <v>0</v>
      </c>
      <c r="C43" s="10"/>
      <c r="D43" s="10"/>
      <c r="E43" s="10"/>
      <c r="H43" s="25"/>
      <c r="I43" s="25"/>
    </row>
    <row r="44" spans="1:10" ht="15.75" customHeight="1" x14ac:dyDescent="0.25">
      <c r="A44" s="21"/>
      <c r="B44" s="10">
        <f t="shared" si="9"/>
        <v>0</v>
      </c>
      <c r="C44" s="10"/>
      <c r="D44" s="10"/>
      <c r="E44" s="10"/>
      <c r="F44" s="10"/>
      <c r="H44" s="21"/>
      <c r="I44" s="21"/>
    </row>
    <row r="45" spans="1:10" ht="15.75" customHeight="1" x14ac:dyDescent="0.25">
      <c r="A45" s="21"/>
      <c r="B45" s="10">
        <f t="shared" si="9"/>
        <v>0</v>
      </c>
      <c r="C45" s="10"/>
      <c r="D45" s="10"/>
      <c r="E45" s="10"/>
      <c r="F45" s="10"/>
      <c r="G45" s="21"/>
      <c r="H45" s="21"/>
      <c r="I45" s="21"/>
    </row>
    <row r="46" spans="1:10" ht="15.75" customHeight="1" x14ac:dyDescent="0.25">
      <c r="A46" s="1" t="s">
        <v>63</v>
      </c>
      <c r="B46" s="26">
        <f t="shared" ref="B46:B47" si="10">G46</f>
        <v>48476.32</v>
      </c>
      <c r="C46" s="10">
        <f t="shared" ref="C46:E46" si="11">SUM(C41:C45)</f>
        <v>18305.599999999999</v>
      </c>
      <c r="D46" s="10">
        <f t="shared" si="11"/>
        <v>20484.29</v>
      </c>
      <c r="E46" s="10">
        <f t="shared" si="11"/>
        <v>9686.43</v>
      </c>
      <c r="F46" s="10"/>
      <c r="G46" s="26">
        <f>C46+D46+E46</f>
        <v>48476.32</v>
      </c>
      <c r="H46" s="9"/>
      <c r="I46" s="9"/>
    </row>
    <row r="47" spans="1:10" ht="15.75" customHeight="1" x14ac:dyDescent="0.25">
      <c r="A47" s="1" t="s">
        <v>49</v>
      </c>
      <c r="B47" s="26">
        <f t="shared" si="10"/>
        <v>0</v>
      </c>
      <c r="D47" s="10"/>
      <c r="E47" s="10"/>
      <c r="F47" s="10"/>
      <c r="G47" s="26"/>
      <c r="H47" s="9"/>
      <c r="I47" s="9"/>
    </row>
    <row r="48" spans="1:10" ht="15.75" customHeight="1" x14ac:dyDescent="0.25">
      <c r="A48" s="1" t="s">
        <v>64</v>
      </c>
      <c r="B48" s="9"/>
      <c r="C48" s="10"/>
      <c r="D48" s="10"/>
      <c r="E48" s="10"/>
      <c r="F48" s="10"/>
      <c r="G48" s="10"/>
      <c r="H48" s="10"/>
      <c r="I48" s="10"/>
    </row>
    <row r="49" spans="1:10" ht="15.75" customHeight="1" x14ac:dyDescent="0.25">
      <c r="A49" s="21" t="s">
        <v>65</v>
      </c>
      <c r="C49" s="10"/>
      <c r="D49" s="10"/>
      <c r="E49" s="10"/>
      <c r="F49" s="10"/>
      <c r="G49" s="10">
        <v>26444.46</v>
      </c>
      <c r="H49" s="10"/>
      <c r="I49" s="10"/>
      <c r="J49" s="10"/>
    </row>
    <row r="50" spans="1:10" ht="15.75" customHeight="1" x14ac:dyDescent="0.25">
      <c r="A50" s="21" t="s">
        <v>66</v>
      </c>
      <c r="C50" s="10"/>
      <c r="D50" s="10"/>
      <c r="E50" s="10"/>
      <c r="F50" s="10"/>
      <c r="G50" s="10">
        <v>5309.49</v>
      </c>
      <c r="H50" s="10"/>
      <c r="I50" s="10"/>
    </row>
    <row r="51" spans="1:10" ht="15.75" customHeight="1" x14ac:dyDescent="0.25">
      <c r="A51" s="21" t="s">
        <v>67</v>
      </c>
      <c r="C51" s="10"/>
      <c r="D51" s="10"/>
      <c r="E51" s="10"/>
      <c r="F51" s="10"/>
      <c r="G51" s="10">
        <v>10807.33</v>
      </c>
      <c r="H51" s="10"/>
      <c r="I51" s="10"/>
    </row>
    <row r="52" spans="1:10" ht="15.75" customHeight="1" x14ac:dyDescent="0.25">
      <c r="A52" s="21" t="s">
        <v>68</v>
      </c>
      <c r="B52" s="10"/>
      <c r="C52" s="10"/>
      <c r="D52" s="10"/>
      <c r="E52" s="10"/>
      <c r="F52" s="10"/>
      <c r="G52" s="10">
        <v>1841.34</v>
      </c>
      <c r="H52" s="10"/>
      <c r="I52" s="10"/>
    </row>
    <row r="53" spans="1:10" ht="15.75" customHeight="1" x14ac:dyDescent="0.25">
      <c r="A53" s="21" t="s">
        <v>69</v>
      </c>
      <c r="B53" s="10"/>
      <c r="C53" s="10"/>
      <c r="D53" s="10"/>
      <c r="E53" s="10"/>
      <c r="F53" s="10"/>
      <c r="G53" s="10">
        <v>359</v>
      </c>
      <c r="H53" s="10"/>
      <c r="I53" s="10"/>
    </row>
    <row r="54" spans="1:10" ht="15.75" customHeight="1" x14ac:dyDescent="0.25">
      <c r="A54" s="21" t="s">
        <v>70</v>
      </c>
      <c r="B54" s="10"/>
      <c r="C54" s="10"/>
      <c r="D54" s="10"/>
      <c r="E54" s="10"/>
      <c r="F54" s="10"/>
      <c r="G54" s="10">
        <v>440</v>
      </c>
      <c r="H54" s="10"/>
      <c r="I54" s="10"/>
    </row>
    <row r="55" spans="1:10" ht="15.75" customHeight="1" x14ac:dyDescent="0.25">
      <c r="A55" s="21" t="s">
        <v>71</v>
      </c>
      <c r="B55" s="10"/>
      <c r="C55" s="10"/>
      <c r="D55" s="10"/>
      <c r="E55" s="10"/>
      <c r="F55" s="10"/>
      <c r="G55" s="10">
        <v>1480.08</v>
      </c>
      <c r="H55" s="10"/>
      <c r="I55" s="10"/>
    </row>
    <row r="56" spans="1:10" ht="15.75" customHeight="1" x14ac:dyDescent="0.25">
      <c r="A56" s="21" t="s">
        <v>72</v>
      </c>
      <c r="B56" s="10"/>
      <c r="C56" s="10"/>
      <c r="D56" s="10"/>
      <c r="E56" s="10"/>
      <c r="F56" s="10"/>
      <c r="G56" s="10">
        <v>1765.82</v>
      </c>
      <c r="H56" s="10"/>
      <c r="I56" s="10"/>
    </row>
    <row r="57" spans="1:10" ht="15.75" customHeight="1" x14ac:dyDescent="0.25">
      <c r="A57" s="21" t="s">
        <v>73</v>
      </c>
      <c r="B57" s="10"/>
      <c r="C57" s="10"/>
      <c r="D57" s="10"/>
      <c r="E57" s="10"/>
      <c r="F57" s="10"/>
      <c r="G57" s="10">
        <v>378.16</v>
      </c>
      <c r="H57" s="10" t="s">
        <v>152</v>
      </c>
      <c r="I57" s="10"/>
    </row>
    <row r="58" spans="1:10" ht="15.75" customHeight="1" x14ac:dyDescent="0.25">
      <c r="A58" s="1" t="s">
        <v>74</v>
      </c>
      <c r="B58" s="26">
        <f>SUM(C58:G58)</f>
        <v>48825.68</v>
      </c>
      <c r="C58" s="10"/>
      <c r="D58" s="10"/>
      <c r="E58" s="10"/>
      <c r="F58" s="10"/>
      <c r="G58" s="26">
        <f>SUM(G49:G57)</f>
        <v>48825.68</v>
      </c>
      <c r="H58" s="9"/>
      <c r="I58" s="9"/>
    </row>
    <row r="59" spans="1:10" ht="15.75" customHeight="1" x14ac:dyDescent="0.25">
      <c r="A59" s="1" t="s">
        <v>57</v>
      </c>
      <c r="B59" s="15">
        <f>B40+B46+B47-B58</f>
        <v>0</v>
      </c>
      <c r="C59" s="10"/>
      <c r="D59" s="10"/>
      <c r="E59" s="10"/>
      <c r="F59" s="10"/>
      <c r="G59" s="10"/>
      <c r="H59" s="10"/>
      <c r="I59" s="10"/>
    </row>
    <row r="60" spans="1:10" ht="15.75" customHeight="1" x14ac:dyDescent="0.25">
      <c r="A60" s="1"/>
      <c r="B60" s="9"/>
      <c r="C60" s="10"/>
      <c r="D60" s="10"/>
      <c r="E60" s="10"/>
      <c r="F60" s="10"/>
      <c r="G60" s="10"/>
      <c r="H60" s="10"/>
      <c r="I60" s="10"/>
    </row>
    <row r="61" spans="1:10" ht="15.75" customHeight="1" x14ac:dyDescent="0.25">
      <c r="A61" s="59"/>
      <c r="B61" s="60"/>
      <c r="C61" s="61" t="s">
        <v>153</v>
      </c>
      <c r="D61" s="61"/>
      <c r="E61" s="62" t="s">
        <v>145</v>
      </c>
      <c r="F61" s="61"/>
      <c r="G61" s="63"/>
      <c r="H61" s="63"/>
      <c r="I61" s="63"/>
    </row>
    <row r="62" spans="1:10" ht="15.75" customHeight="1" x14ac:dyDescent="0.25">
      <c r="A62" s="64" t="s">
        <v>154</v>
      </c>
      <c r="B62" s="60">
        <f>C62+E62</f>
        <v>191918.89000000004</v>
      </c>
      <c r="C62" s="61">
        <f>C6</f>
        <v>19085.869999999995</v>
      </c>
      <c r="D62" s="61"/>
      <c r="E62" s="61">
        <f>E6</f>
        <v>172833.02000000005</v>
      </c>
      <c r="F62" s="61"/>
      <c r="G62" s="61"/>
      <c r="H62" s="61"/>
      <c r="I62" s="61"/>
    </row>
    <row r="63" spans="1:10" ht="15.75" customHeight="1" x14ac:dyDescent="0.25">
      <c r="A63" s="21" t="s">
        <v>155</v>
      </c>
      <c r="B63" s="10">
        <f>D63</f>
        <v>0</v>
      </c>
      <c r="C63" s="10"/>
      <c r="D63" s="10"/>
      <c r="E63" s="10"/>
      <c r="F63" s="10"/>
      <c r="G63" s="10"/>
      <c r="H63" s="10"/>
      <c r="I63" s="10"/>
    </row>
    <row r="64" spans="1:10" ht="15.75" customHeight="1" x14ac:dyDescent="0.25">
      <c r="A64" s="10" t="s">
        <v>156</v>
      </c>
      <c r="B64" s="10">
        <f>SUM(C64:E64)</f>
        <v>849.42000000000007</v>
      </c>
      <c r="C64" s="10">
        <v>84.45</v>
      </c>
      <c r="D64" s="10"/>
      <c r="E64" s="10">
        <v>764.97</v>
      </c>
      <c r="F64" s="10"/>
      <c r="G64" s="10"/>
      <c r="H64" s="10"/>
      <c r="I64" s="10"/>
    </row>
    <row r="65" spans="1:9" ht="15.75" customHeight="1" x14ac:dyDescent="0.25">
      <c r="A65" s="10" t="s">
        <v>157</v>
      </c>
      <c r="B65" s="10">
        <f>D65</f>
        <v>0</v>
      </c>
      <c r="C65" s="10"/>
      <c r="D65" s="10"/>
      <c r="E65" s="10"/>
      <c r="F65" s="10"/>
      <c r="G65" s="10"/>
      <c r="H65" s="10"/>
      <c r="I65" s="10"/>
    </row>
    <row r="66" spans="1:9" ht="15.75" customHeight="1" x14ac:dyDescent="0.25">
      <c r="A66" s="9" t="s">
        <v>57</v>
      </c>
      <c r="B66" s="15">
        <f>C66+E66</f>
        <v>192768.31000000006</v>
      </c>
      <c r="C66" s="15">
        <f>C62-C63+C64+C65</f>
        <v>19170.319999999996</v>
      </c>
      <c r="D66" s="9"/>
      <c r="E66" s="15">
        <f>E62-E63+E64+E65</f>
        <v>173597.99000000005</v>
      </c>
      <c r="F66" s="10"/>
      <c r="G66" s="9"/>
      <c r="H66" s="9"/>
      <c r="I66" s="9"/>
    </row>
    <row r="67" spans="1:9" ht="15.75" customHeight="1" x14ac:dyDescent="0.25">
      <c r="A67" s="9"/>
      <c r="B67" s="9"/>
      <c r="C67" s="65">
        <v>0.1</v>
      </c>
      <c r="D67" s="9"/>
      <c r="E67" s="65">
        <v>0.9</v>
      </c>
      <c r="F67" s="10"/>
      <c r="G67" s="9"/>
      <c r="H67" s="9"/>
      <c r="I67" s="9"/>
    </row>
    <row r="68" spans="1:9" ht="15.75" customHeight="1" x14ac:dyDescent="0.25">
      <c r="A68" s="59"/>
      <c r="B68" s="60"/>
      <c r="C68" s="61"/>
      <c r="D68" s="61"/>
      <c r="E68" s="61"/>
      <c r="F68" s="61"/>
      <c r="G68" s="63"/>
      <c r="H68" s="63"/>
      <c r="I68" s="63"/>
    </row>
    <row r="69" spans="1:9" ht="15.75" customHeight="1" x14ac:dyDescent="0.25">
      <c r="A69" s="64" t="s">
        <v>158</v>
      </c>
      <c r="B69" s="60">
        <f t="shared" ref="B69:B71" si="12">D69</f>
        <v>127125.15000000002</v>
      </c>
      <c r="C69" s="61"/>
      <c r="D69" s="61">
        <f>D7</f>
        <v>127125.15000000002</v>
      </c>
      <c r="E69" s="61"/>
      <c r="F69" s="61"/>
      <c r="G69" s="61"/>
      <c r="H69" s="61"/>
      <c r="I69" s="61"/>
    </row>
    <row r="70" spans="1:9" ht="15.75" customHeight="1" x14ac:dyDescent="0.25">
      <c r="A70" s="21" t="s">
        <v>155</v>
      </c>
      <c r="B70" s="10">
        <f t="shared" si="12"/>
        <v>0</v>
      </c>
      <c r="C70" s="10"/>
      <c r="D70" s="10"/>
      <c r="E70" s="10"/>
      <c r="F70" s="10"/>
      <c r="G70" s="10"/>
      <c r="H70" s="10"/>
      <c r="I70" s="10"/>
    </row>
    <row r="71" spans="1:9" ht="15.75" customHeight="1" x14ac:dyDescent="0.25">
      <c r="A71" s="10" t="s">
        <v>156</v>
      </c>
      <c r="B71" s="10">
        <f t="shared" si="12"/>
        <v>562.66</v>
      </c>
      <c r="C71" s="10"/>
      <c r="D71" s="10">
        <v>562.66</v>
      </c>
      <c r="E71" s="10"/>
      <c r="F71" s="10"/>
      <c r="G71" s="10"/>
      <c r="H71" s="10"/>
      <c r="I71" s="10"/>
    </row>
    <row r="72" spans="1:9" ht="15.75" customHeight="1" x14ac:dyDescent="0.25">
      <c r="A72" s="10" t="s">
        <v>157</v>
      </c>
      <c r="B72" s="10"/>
      <c r="C72" s="10"/>
      <c r="D72" s="10"/>
      <c r="E72" s="10"/>
      <c r="F72" s="10"/>
      <c r="G72" s="10"/>
      <c r="H72" s="10"/>
      <c r="I72" s="10"/>
    </row>
    <row r="73" spans="1:9" ht="15.75" customHeight="1" x14ac:dyDescent="0.25">
      <c r="A73" s="9" t="s">
        <v>57</v>
      </c>
      <c r="B73" s="15">
        <f>D73</f>
        <v>127687.81000000003</v>
      </c>
      <c r="C73" s="10"/>
      <c r="D73" s="15">
        <f>D69-D70+D71+D72</f>
        <v>127687.81000000003</v>
      </c>
      <c r="E73" s="10"/>
      <c r="F73" s="10"/>
      <c r="G73" s="9"/>
      <c r="H73" s="9"/>
      <c r="I73" s="9"/>
    </row>
    <row r="74" spans="1:9" ht="15.7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</row>
    <row r="75" spans="1:9" ht="15.75" customHeight="1" x14ac:dyDescent="0.25">
      <c r="A75" s="2" t="s">
        <v>75</v>
      </c>
      <c r="B75" s="3" t="s">
        <v>2</v>
      </c>
      <c r="C75" s="4" t="s">
        <v>137</v>
      </c>
      <c r="D75" s="4" t="s">
        <v>138</v>
      </c>
      <c r="E75" s="4" t="s">
        <v>139</v>
      </c>
      <c r="F75" s="4" t="s">
        <v>140</v>
      </c>
      <c r="G75" s="4" t="s">
        <v>60</v>
      </c>
      <c r="H75" s="4" t="s">
        <v>141</v>
      </c>
      <c r="I75" s="4" t="s">
        <v>142</v>
      </c>
    </row>
    <row r="76" spans="1:9" ht="15.75" customHeight="1" x14ac:dyDescent="0.25">
      <c r="A76" s="6" t="s">
        <v>14</v>
      </c>
      <c r="B76" s="6" t="s">
        <v>76</v>
      </c>
      <c r="C76" s="7" t="s">
        <v>143</v>
      </c>
      <c r="D76" s="7" t="s">
        <v>144</v>
      </c>
      <c r="E76" s="7" t="s">
        <v>145</v>
      </c>
      <c r="F76" s="7" t="s">
        <v>146</v>
      </c>
      <c r="G76" s="7" t="s">
        <v>28</v>
      </c>
      <c r="H76" s="7" t="s">
        <v>147</v>
      </c>
      <c r="I76" s="7" t="s">
        <v>148</v>
      </c>
    </row>
    <row r="77" spans="1:9" ht="15.75" customHeight="1" x14ac:dyDescent="0.25">
      <c r="A77" s="8" t="s">
        <v>28</v>
      </c>
      <c r="B77" s="9">
        <f t="shared" ref="B77:B78" si="13">SUM(C77:I77)</f>
        <v>0</v>
      </c>
      <c r="C77" s="10"/>
      <c r="D77" s="10"/>
      <c r="E77" s="10"/>
      <c r="F77" s="10"/>
      <c r="G77" s="10">
        <f>B59</f>
        <v>0</v>
      </c>
      <c r="H77" s="10"/>
      <c r="I77" s="10"/>
    </row>
    <row r="78" spans="1:9" ht="15.75" customHeight="1" x14ac:dyDescent="0.25">
      <c r="A78" s="8" t="s">
        <v>29</v>
      </c>
      <c r="B78" s="9">
        <f t="shared" si="13"/>
        <v>2269596.1099999994</v>
      </c>
      <c r="C78" s="12">
        <f t="shared" ref="C78:F78" si="14">C36</f>
        <v>950897.1099999994</v>
      </c>
      <c r="D78" s="12">
        <f t="shared" si="14"/>
        <v>1275050.6799999997</v>
      </c>
      <c r="E78" s="12">
        <f t="shared" si="14"/>
        <v>-12423.819999999891</v>
      </c>
      <c r="F78" s="12">
        <f t="shared" si="14"/>
        <v>64614.839999999946</v>
      </c>
      <c r="G78" s="10"/>
      <c r="H78" s="10">
        <f t="shared" ref="H78:I78" si="15">H36</f>
        <v>25000</v>
      </c>
      <c r="I78" s="10">
        <f t="shared" si="15"/>
        <v>-33542.699999999903</v>
      </c>
    </row>
    <row r="79" spans="1:9" ht="15.75" customHeight="1" x14ac:dyDescent="0.25">
      <c r="A79" s="8" t="s">
        <v>149</v>
      </c>
      <c r="B79" s="9">
        <f>C79+E79</f>
        <v>192768.31000000006</v>
      </c>
      <c r="C79" s="10">
        <f>C66</f>
        <v>19170.319999999996</v>
      </c>
      <c r="E79" s="10">
        <f>E66</f>
        <v>173597.99000000005</v>
      </c>
      <c r="F79" s="10"/>
      <c r="G79" s="10"/>
      <c r="H79" s="10"/>
      <c r="I79" s="10"/>
    </row>
    <row r="80" spans="1:9" ht="15.75" customHeight="1" x14ac:dyDescent="0.25">
      <c r="A80" s="8" t="s">
        <v>150</v>
      </c>
      <c r="B80" s="9">
        <f>D80</f>
        <v>127687.81000000003</v>
      </c>
      <c r="C80" s="10"/>
      <c r="D80" s="10">
        <f>B73</f>
        <v>127687.81000000003</v>
      </c>
      <c r="E80" s="10"/>
      <c r="F80" s="10"/>
      <c r="G80" s="10"/>
      <c r="H80" s="10"/>
      <c r="I80" s="10"/>
    </row>
    <row r="81" spans="1:11" ht="15.75" customHeight="1" x14ac:dyDescent="0.25">
      <c r="A81" s="8"/>
      <c r="B81" s="9"/>
      <c r="C81" s="10"/>
      <c r="D81" s="10"/>
      <c r="E81" s="10"/>
      <c r="F81" s="10"/>
      <c r="G81" s="10"/>
      <c r="H81" s="10"/>
      <c r="I81" s="10"/>
    </row>
    <row r="82" spans="1:11" ht="15.75" customHeight="1" x14ac:dyDescent="0.25">
      <c r="A82" s="1" t="s">
        <v>32</v>
      </c>
      <c r="B82" s="15">
        <f>SUM(C82:I82)</f>
        <v>2590052.2299999991</v>
      </c>
      <c r="C82" s="15">
        <f t="shared" ref="C82:I82" si="16">SUM(C77:C80)</f>
        <v>970067.42999999935</v>
      </c>
      <c r="D82" s="15">
        <f t="shared" si="16"/>
        <v>1402738.4899999998</v>
      </c>
      <c r="E82" s="15">
        <f t="shared" si="16"/>
        <v>161174.17000000016</v>
      </c>
      <c r="F82" s="15">
        <f t="shared" si="16"/>
        <v>64614.839999999946</v>
      </c>
      <c r="G82" s="15">
        <f t="shared" si="16"/>
        <v>0</v>
      </c>
      <c r="H82" s="15">
        <f t="shared" si="16"/>
        <v>25000</v>
      </c>
      <c r="I82" s="15">
        <f t="shared" si="16"/>
        <v>-33542.699999999903</v>
      </c>
    </row>
    <row r="83" spans="1:11" ht="15.75" customHeight="1" x14ac:dyDescent="0.25">
      <c r="A83" s="21"/>
      <c r="B83" s="21"/>
      <c r="C83" s="10"/>
      <c r="D83" s="10"/>
      <c r="E83" s="10"/>
      <c r="F83" s="10"/>
    </row>
    <row r="84" spans="1:11" ht="15.75" customHeight="1" x14ac:dyDescent="0.25">
      <c r="A84" s="21" t="str">
        <f>A1</f>
        <v xml:space="preserve">Month: May 2024                                                                                                                                </v>
      </c>
      <c r="B84" s="21"/>
      <c r="D84" s="10"/>
      <c r="E84" s="10"/>
      <c r="G84" s="10"/>
      <c r="H84" s="10"/>
    </row>
    <row r="85" spans="1:11" ht="15.75" customHeight="1" x14ac:dyDescent="0.25">
      <c r="A85" s="10"/>
      <c r="B85" s="27" t="s">
        <v>79</v>
      </c>
      <c r="C85" s="27" t="s">
        <v>80</v>
      </c>
      <c r="D85" s="27" t="s">
        <v>81</v>
      </c>
      <c r="E85" s="27" t="s">
        <v>82</v>
      </c>
      <c r="F85" s="11" t="s">
        <v>83</v>
      </c>
      <c r="G85" s="10"/>
      <c r="H85" s="10"/>
    </row>
    <row r="86" spans="1:11" ht="15.75" customHeight="1" x14ac:dyDescent="0.25">
      <c r="A86" s="30" t="s">
        <v>84</v>
      </c>
      <c r="B86" s="10"/>
      <c r="C86" s="10">
        <v>69998.350000000006</v>
      </c>
      <c r="D86" s="10">
        <f>B132</f>
        <v>69998.950000000012</v>
      </c>
      <c r="E86" s="10">
        <f>C107</f>
        <v>0</v>
      </c>
      <c r="F86" s="10">
        <f t="shared" ref="F86:F87" si="17">(C86-D86+E86)-B86</f>
        <v>-0.60000000000582077</v>
      </c>
      <c r="G86" s="10"/>
      <c r="H86" s="10">
        <f>C86-D86</f>
        <v>-0.60000000000582077</v>
      </c>
      <c r="J86" s="14"/>
    </row>
    <row r="87" spans="1:11" ht="15.75" customHeight="1" x14ac:dyDescent="0.25">
      <c r="A87" s="30" t="s">
        <v>29</v>
      </c>
      <c r="B87" s="10">
        <f>B36-G36+B79+B80</f>
        <v>2590052.2299999995</v>
      </c>
      <c r="C87" s="10">
        <f>506377.58+2056068.09</f>
        <v>2562445.67</v>
      </c>
      <c r="D87" s="10">
        <f>C103</f>
        <v>0</v>
      </c>
      <c r="E87" s="10">
        <f>D99</f>
        <v>27607.16</v>
      </c>
      <c r="F87" s="10">
        <f t="shared" si="17"/>
        <v>0.60000000055879354</v>
      </c>
      <c r="H87" s="10">
        <f>C87+E87</f>
        <v>2590052.83</v>
      </c>
    </row>
    <row r="88" spans="1:11" ht="15.75" customHeight="1" x14ac:dyDescent="0.25">
      <c r="A88" s="30"/>
      <c r="B88" s="10">
        <f>B86+B87</f>
        <v>2590052.2299999995</v>
      </c>
      <c r="C88" s="10"/>
      <c r="D88" s="10"/>
      <c r="F88" s="31">
        <f>F86+F87</f>
        <v>5.5297277867794037E-10</v>
      </c>
      <c r="G88" s="10"/>
      <c r="H88" s="10">
        <f>H86+H87</f>
        <v>2590052.23</v>
      </c>
      <c r="J88" s="14"/>
    </row>
    <row r="89" spans="1:11" ht="15.75" customHeight="1" x14ac:dyDescent="0.25">
      <c r="A89" s="30" t="s">
        <v>28</v>
      </c>
      <c r="B89" s="10">
        <f>B59</f>
        <v>0</v>
      </c>
      <c r="C89" s="10">
        <v>2218.65</v>
      </c>
      <c r="D89" s="10">
        <f>G104</f>
        <v>2218.65</v>
      </c>
      <c r="E89" s="10">
        <f>G107</f>
        <v>0</v>
      </c>
      <c r="F89" s="10">
        <f>(C89-D89+E89)-B89</f>
        <v>0</v>
      </c>
      <c r="G89" s="10"/>
      <c r="H89" s="10"/>
    </row>
    <row r="90" spans="1:11" ht="15.75" customHeight="1" x14ac:dyDescent="0.25">
      <c r="A90" s="8"/>
      <c r="B90" s="10"/>
      <c r="C90" s="10" t="s">
        <v>86</v>
      </c>
      <c r="D90" s="10"/>
      <c r="E90" s="10" t="s">
        <v>87</v>
      </c>
      <c r="F90" s="31">
        <f>F88+F89</f>
        <v>5.5297277867794037E-10</v>
      </c>
      <c r="G90" s="10"/>
      <c r="H90" s="10"/>
      <c r="I90" s="32"/>
    </row>
    <row r="91" spans="1:11" ht="15.75" customHeight="1" x14ac:dyDescent="0.25">
      <c r="A91" s="8"/>
      <c r="B91" s="10"/>
      <c r="C91" s="10"/>
      <c r="D91" s="10"/>
      <c r="E91" s="10"/>
      <c r="F91" s="10"/>
      <c r="G91" s="10"/>
      <c r="H91" s="10"/>
      <c r="I91" s="32"/>
    </row>
    <row r="92" spans="1:11" ht="15.75" customHeight="1" x14ac:dyDescent="0.25">
      <c r="A92" s="69" t="s">
        <v>88</v>
      </c>
      <c r="B92" s="70"/>
      <c r="C92" s="71" t="s">
        <v>89</v>
      </c>
      <c r="D92" s="72"/>
      <c r="E92" s="23" t="s">
        <v>90</v>
      </c>
      <c r="G92" s="33" t="s">
        <v>91</v>
      </c>
      <c r="H92" s="34"/>
      <c r="I92" s="32"/>
    </row>
    <row r="93" spans="1:11" ht="15.75" customHeight="1" x14ac:dyDescent="0.25">
      <c r="A93" s="23">
        <v>15049</v>
      </c>
      <c r="B93" s="14">
        <v>490</v>
      </c>
      <c r="C93" s="36" t="s">
        <v>92</v>
      </c>
      <c r="D93" s="37">
        <v>341.24</v>
      </c>
      <c r="G93" s="10">
        <v>410.83</v>
      </c>
      <c r="H93" s="8">
        <v>9096</v>
      </c>
      <c r="K93" s="14"/>
    </row>
    <row r="94" spans="1:11" ht="15.75" customHeight="1" x14ac:dyDescent="0.25">
      <c r="A94" s="23">
        <v>15050</v>
      </c>
      <c r="B94" s="14">
        <v>450</v>
      </c>
      <c r="C94" s="38" t="s">
        <v>93</v>
      </c>
      <c r="D94" s="39">
        <v>5762.07</v>
      </c>
      <c r="E94" s="22"/>
      <c r="G94" s="10">
        <v>42</v>
      </c>
      <c r="H94" s="8">
        <v>9106</v>
      </c>
      <c r="K94" s="14"/>
    </row>
    <row r="95" spans="1:11" ht="15.75" customHeight="1" x14ac:dyDescent="0.25">
      <c r="A95" s="23">
        <v>15051</v>
      </c>
      <c r="B95" s="14">
        <v>12775.18</v>
      </c>
      <c r="C95" s="38" t="s">
        <v>94</v>
      </c>
      <c r="D95" s="39">
        <v>932.28</v>
      </c>
      <c r="E95" s="22"/>
      <c r="G95" s="10">
        <v>1765.82</v>
      </c>
      <c r="H95" s="8">
        <v>9107</v>
      </c>
      <c r="K95" s="14"/>
    </row>
    <row r="96" spans="1:11" ht="15.75" customHeight="1" x14ac:dyDescent="0.25">
      <c r="A96" s="23">
        <v>15052</v>
      </c>
      <c r="B96" s="14">
        <v>85.65</v>
      </c>
      <c r="C96" s="38" t="s">
        <v>95</v>
      </c>
      <c r="D96" s="39">
        <v>1069.71</v>
      </c>
      <c r="E96" s="22"/>
      <c r="G96" s="10"/>
      <c r="H96" s="8"/>
      <c r="K96" s="14"/>
    </row>
    <row r="97" spans="1:11" ht="15.75" customHeight="1" x14ac:dyDescent="0.25">
      <c r="A97" s="23">
        <v>15053</v>
      </c>
      <c r="B97" s="14">
        <v>176</v>
      </c>
      <c r="C97" s="38" t="s">
        <v>96</v>
      </c>
      <c r="D97" s="39">
        <f>767.79+11012.91+2611.16</f>
        <v>14391.86</v>
      </c>
      <c r="G97" s="10"/>
      <c r="H97" s="8"/>
      <c r="K97" s="14"/>
    </row>
    <row r="98" spans="1:11" ht="15.75" customHeight="1" x14ac:dyDescent="0.25">
      <c r="A98" s="23">
        <v>15054</v>
      </c>
      <c r="B98" s="14">
        <v>6884</v>
      </c>
      <c r="C98" s="38" t="s">
        <v>97</v>
      </c>
      <c r="D98" s="39">
        <v>5110</v>
      </c>
      <c r="E98" s="73" t="s">
        <v>98</v>
      </c>
      <c r="F98" s="72"/>
      <c r="G98" s="10"/>
      <c r="H98" s="8"/>
      <c r="K98" s="14"/>
    </row>
    <row r="99" spans="1:11" ht="15.75" customHeight="1" x14ac:dyDescent="0.25">
      <c r="A99" s="23">
        <v>15055</v>
      </c>
      <c r="B99" s="14">
        <v>137.02000000000001</v>
      </c>
      <c r="C99" s="40"/>
      <c r="D99" s="41">
        <f>D93+D94+D95+D96+D97+D98</f>
        <v>27607.16</v>
      </c>
      <c r="E99" s="42"/>
      <c r="F99" s="43"/>
      <c r="G99" s="10"/>
      <c r="H99" s="8"/>
      <c r="K99" s="14"/>
    </row>
    <row r="100" spans="1:11" ht="15.75" customHeight="1" x14ac:dyDescent="0.25">
      <c r="A100" s="23">
        <v>15056</v>
      </c>
      <c r="B100" s="14">
        <v>22.49</v>
      </c>
      <c r="C100" s="44" t="s">
        <v>99</v>
      </c>
      <c r="E100" s="23" t="s">
        <v>100</v>
      </c>
      <c r="F100" s="27"/>
      <c r="G100" s="10"/>
      <c r="H100" s="8"/>
      <c r="K100" s="14"/>
    </row>
    <row r="101" spans="1:11" ht="15.75" customHeight="1" x14ac:dyDescent="0.25">
      <c r="A101" s="23">
        <v>15057</v>
      </c>
      <c r="B101" s="14">
        <v>38.22</v>
      </c>
      <c r="C101" s="45"/>
      <c r="E101" s="23" t="s">
        <v>101</v>
      </c>
      <c r="F101" s="27"/>
      <c r="G101" s="10"/>
      <c r="H101" s="8"/>
      <c r="K101" s="14"/>
    </row>
    <row r="102" spans="1:11" ht="15.75" customHeight="1" x14ac:dyDescent="0.25">
      <c r="A102" s="23">
        <v>15058</v>
      </c>
      <c r="B102" s="14">
        <v>2486.4</v>
      </c>
      <c r="C102" s="14"/>
      <c r="E102" s="23" t="s">
        <v>102</v>
      </c>
      <c r="F102" s="27"/>
      <c r="G102" s="10"/>
      <c r="H102" s="8"/>
      <c r="K102" s="14"/>
    </row>
    <row r="103" spans="1:11" ht="15.75" customHeight="1" x14ac:dyDescent="0.25">
      <c r="A103" s="23">
        <v>15059</v>
      </c>
      <c r="B103" s="14">
        <v>40</v>
      </c>
      <c r="C103" s="46">
        <f>SUM(C101:C102)</f>
        <v>0</v>
      </c>
      <c r="E103" s="23" t="s">
        <v>103</v>
      </c>
      <c r="F103" s="27"/>
      <c r="G103" s="10"/>
      <c r="H103" s="8"/>
      <c r="K103" s="14"/>
    </row>
    <row r="104" spans="1:11" ht="15.75" customHeight="1" x14ac:dyDescent="0.25">
      <c r="A104" s="23">
        <v>15060</v>
      </c>
      <c r="B104" s="14">
        <v>781.05</v>
      </c>
      <c r="E104" s="23" t="s">
        <v>104</v>
      </c>
      <c r="F104" s="27"/>
      <c r="G104" s="47">
        <f>SUM(G93:G103)</f>
        <v>2218.65</v>
      </c>
      <c r="H104" s="8"/>
      <c r="K104" s="14"/>
    </row>
    <row r="105" spans="1:11" ht="15.75" customHeight="1" x14ac:dyDescent="0.25">
      <c r="A105" s="23">
        <v>15061</v>
      </c>
      <c r="B105" s="14">
        <v>381.6</v>
      </c>
      <c r="E105" s="23" t="s">
        <v>105</v>
      </c>
      <c r="F105" s="27"/>
      <c r="G105" s="14"/>
      <c r="H105" s="8"/>
      <c r="K105" s="14"/>
    </row>
    <row r="106" spans="1:11" ht="15.75" customHeight="1" x14ac:dyDescent="0.25">
      <c r="A106" s="23">
        <v>15062</v>
      </c>
      <c r="B106" s="14">
        <v>152.94</v>
      </c>
      <c r="C106" s="33" t="s">
        <v>106</v>
      </c>
      <c r="D106" s="32"/>
      <c r="E106" s="23" t="s">
        <v>107</v>
      </c>
      <c r="F106" s="27"/>
      <c r="G106" s="33" t="s">
        <v>108</v>
      </c>
      <c r="H106" s="8"/>
      <c r="K106" s="14"/>
    </row>
    <row r="107" spans="1:11" ht="15.75" customHeight="1" x14ac:dyDescent="0.25">
      <c r="A107" s="23">
        <v>15063</v>
      </c>
      <c r="B107" s="14">
        <v>32</v>
      </c>
      <c r="C107" s="45"/>
      <c r="D107" s="32"/>
      <c r="E107" s="14"/>
      <c r="F107" s="14"/>
      <c r="G107" s="49"/>
      <c r="H107" s="8"/>
      <c r="K107" s="14"/>
    </row>
    <row r="108" spans="1:11" ht="15.75" customHeight="1" x14ac:dyDescent="0.25">
      <c r="A108" s="23">
        <v>15064</v>
      </c>
      <c r="B108" s="14">
        <v>229.13</v>
      </c>
      <c r="C108" s="14"/>
      <c r="D108" s="32"/>
      <c r="E108" s="14"/>
      <c r="F108" s="14"/>
      <c r="G108" s="49"/>
      <c r="H108" s="8"/>
      <c r="K108" s="14"/>
    </row>
    <row r="109" spans="1:11" ht="15.75" customHeight="1" x14ac:dyDescent="0.25">
      <c r="A109" s="23">
        <v>15065</v>
      </c>
      <c r="B109" s="14">
        <v>495</v>
      </c>
      <c r="C109" s="14"/>
      <c r="D109" s="32"/>
      <c r="E109" s="14"/>
      <c r="F109" s="14"/>
      <c r="G109" s="49"/>
      <c r="H109" s="8"/>
      <c r="K109" s="14"/>
    </row>
    <row r="110" spans="1:11" ht="15.75" customHeight="1" x14ac:dyDescent="0.25">
      <c r="A110" s="23">
        <v>15066</v>
      </c>
      <c r="B110" s="14">
        <v>1089.47</v>
      </c>
      <c r="C110" s="14"/>
      <c r="D110" s="32"/>
      <c r="E110" s="14"/>
      <c r="F110" s="14"/>
      <c r="G110" s="49"/>
      <c r="H110" s="8"/>
      <c r="K110" s="14"/>
    </row>
    <row r="111" spans="1:11" ht="15.75" customHeight="1" x14ac:dyDescent="0.25">
      <c r="A111" s="23">
        <v>15067</v>
      </c>
      <c r="B111" s="14">
        <v>66.45</v>
      </c>
      <c r="C111" s="14"/>
      <c r="D111" s="32"/>
      <c r="E111" s="14"/>
      <c r="F111" s="14"/>
      <c r="G111" s="49"/>
      <c r="H111" s="8"/>
      <c r="K111" s="14"/>
    </row>
    <row r="112" spans="1:11" ht="15.75" customHeight="1" x14ac:dyDescent="0.25">
      <c r="A112" s="23">
        <v>15068</v>
      </c>
      <c r="B112" s="14">
        <v>72</v>
      </c>
      <c r="C112" s="14"/>
      <c r="D112" s="32"/>
      <c r="E112" s="14"/>
      <c r="F112" s="14"/>
      <c r="G112" s="49"/>
      <c r="H112" s="8"/>
      <c r="K112" s="14"/>
    </row>
    <row r="113" spans="1:11" ht="15.75" customHeight="1" x14ac:dyDescent="0.25">
      <c r="A113" s="23">
        <v>15069</v>
      </c>
      <c r="B113" s="14">
        <v>40</v>
      </c>
      <c r="C113" s="14"/>
      <c r="D113" s="32"/>
      <c r="E113" s="14"/>
      <c r="F113" s="14"/>
      <c r="G113" s="49"/>
      <c r="H113" s="8"/>
      <c r="K113" s="14"/>
    </row>
    <row r="114" spans="1:11" ht="15.75" customHeight="1" x14ac:dyDescent="0.25">
      <c r="A114" s="23">
        <v>15070</v>
      </c>
      <c r="B114" s="14">
        <v>363.83</v>
      </c>
      <c r="C114" s="14"/>
      <c r="D114" s="32"/>
      <c r="E114" s="14"/>
      <c r="F114" s="14"/>
      <c r="G114" s="49"/>
      <c r="H114" s="8"/>
      <c r="K114" s="14"/>
    </row>
    <row r="115" spans="1:11" ht="15.75" customHeight="1" x14ac:dyDescent="0.25">
      <c r="A115" s="23">
        <v>15071</v>
      </c>
      <c r="B115" s="14">
        <v>330</v>
      </c>
      <c r="C115" s="14"/>
      <c r="D115" s="32"/>
      <c r="E115" s="14"/>
      <c r="F115" s="14"/>
      <c r="G115" s="49"/>
      <c r="H115" s="8"/>
      <c r="K115" s="14"/>
    </row>
    <row r="116" spans="1:11" ht="15.75" customHeight="1" x14ac:dyDescent="0.25">
      <c r="A116" s="23">
        <v>15073</v>
      </c>
      <c r="B116" s="14">
        <v>30315</v>
      </c>
      <c r="C116" s="14"/>
      <c r="D116" s="32"/>
      <c r="E116" s="14"/>
      <c r="F116" s="14"/>
      <c r="G116" s="49"/>
      <c r="H116" s="8"/>
      <c r="K116" s="14"/>
    </row>
    <row r="117" spans="1:11" ht="15.75" customHeight="1" x14ac:dyDescent="0.25">
      <c r="A117" s="23">
        <v>15075</v>
      </c>
      <c r="B117" s="14">
        <v>292.8</v>
      </c>
      <c r="C117" s="14"/>
      <c r="D117" s="32"/>
      <c r="E117" s="14"/>
      <c r="F117" s="14"/>
      <c r="G117" s="49"/>
      <c r="H117" s="8"/>
      <c r="K117" s="14"/>
    </row>
    <row r="118" spans="1:11" ht="15.75" customHeight="1" x14ac:dyDescent="0.25">
      <c r="A118" s="23">
        <v>15076</v>
      </c>
      <c r="B118" s="14">
        <v>4894.51</v>
      </c>
      <c r="C118" s="14"/>
      <c r="D118" s="32"/>
      <c r="E118" s="14"/>
      <c r="F118" s="14"/>
      <c r="G118" s="49"/>
      <c r="H118" s="8"/>
      <c r="K118" s="14"/>
    </row>
    <row r="119" spans="1:11" ht="15.75" customHeight="1" x14ac:dyDescent="0.25">
      <c r="A119" s="23">
        <v>15077</v>
      </c>
      <c r="B119" s="14">
        <v>346.44</v>
      </c>
      <c r="C119" s="14"/>
      <c r="D119" s="32"/>
      <c r="E119" s="14"/>
      <c r="F119" s="14"/>
      <c r="G119" s="49"/>
      <c r="H119" s="8"/>
      <c r="K119" s="14"/>
    </row>
    <row r="120" spans="1:11" ht="15.75" customHeight="1" x14ac:dyDescent="0.25">
      <c r="A120" s="23">
        <v>15078</v>
      </c>
      <c r="B120" s="14">
        <v>90</v>
      </c>
      <c r="C120" s="14"/>
      <c r="D120" s="32"/>
      <c r="E120" s="14"/>
      <c r="F120" s="14"/>
      <c r="G120" s="49"/>
      <c r="H120" s="8"/>
      <c r="K120" s="14"/>
    </row>
    <row r="121" spans="1:11" ht="15.75" customHeight="1" x14ac:dyDescent="0.25">
      <c r="A121" s="23">
        <v>15079</v>
      </c>
      <c r="B121" s="14">
        <v>142.19</v>
      </c>
      <c r="C121" s="14"/>
      <c r="D121" s="32"/>
      <c r="E121" s="14"/>
      <c r="F121" s="14"/>
      <c r="G121" s="49"/>
      <c r="H121" s="8"/>
      <c r="K121" s="14"/>
    </row>
    <row r="122" spans="1:11" ht="15.75" customHeight="1" x14ac:dyDescent="0.25">
      <c r="A122" s="23">
        <v>15080</v>
      </c>
      <c r="B122" s="14">
        <v>80</v>
      </c>
      <c r="C122" s="14"/>
      <c r="D122" s="32"/>
      <c r="E122" s="14"/>
      <c r="F122" s="14"/>
      <c r="G122" s="49"/>
      <c r="H122" s="8"/>
      <c r="K122" s="14"/>
    </row>
    <row r="123" spans="1:11" ht="15.75" customHeight="1" x14ac:dyDescent="0.25">
      <c r="A123" s="23">
        <v>15081</v>
      </c>
      <c r="B123" s="14">
        <v>216.85</v>
      </c>
      <c r="C123" s="14"/>
      <c r="D123" s="32"/>
      <c r="E123" s="14"/>
      <c r="F123" s="14"/>
      <c r="G123" s="49"/>
      <c r="H123" s="8"/>
      <c r="K123" s="14"/>
    </row>
    <row r="124" spans="1:11" ht="15.75" customHeight="1" x14ac:dyDescent="0.25">
      <c r="A124" s="23">
        <v>15082</v>
      </c>
      <c r="B124" s="14">
        <v>590</v>
      </c>
      <c r="C124" s="14"/>
      <c r="D124" s="32"/>
      <c r="E124" s="14"/>
      <c r="F124" s="14"/>
      <c r="G124" s="49"/>
      <c r="H124" s="8"/>
      <c r="K124" s="14"/>
    </row>
    <row r="125" spans="1:11" ht="15.75" customHeight="1" x14ac:dyDescent="0.25">
      <c r="A125" s="23">
        <v>15083</v>
      </c>
      <c r="B125" s="14">
        <v>594.38</v>
      </c>
      <c r="C125" s="14"/>
      <c r="D125" s="32"/>
      <c r="E125" s="14"/>
      <c r="F125" s="14"/>
      <c r="G125" s="49"/>
      <c r="H125" s="8"/>
      <c r="K125" s="14"/>
    </row>
    <row r="126" spans="1:11" ht="15.75" customHeight="1" x14ac:dyDescent="0.25">
      <c r="A126" s="23">
        <v>15084</v>
      </c>
      <c r="B126" s="14">
        <v>122.16</v>
      </c>
      <c r="C126" s="14"/>
      <c r="D126" s="32"/>
      <c r="E126" s="14"/>
      <c r="F126" s="14"/>
      <c r="G126" s="49"/>
      <c r="H126" s="8"/>
      <c r="K126" s="14"/>
    </row>
    <row r="127" spans="1:11" ht="15.75" customHeight="1" x14ac:dyDescent="0.25">
      <c r="A127" s="23">
        <v>15085</v>
      </c>
      <c r="B127" s="14">
        <v>80</v>
      </c>
      <c r="C127" s="14"/>
      <c r="D127" s="32"/>
      <c r="E127" s="14"/>
      <c r="F127" s="14"/>
      <c r="G127" s="49"/>
      <c r="H127" s="8"/>
      <c r="K127" s="14"/>
    </row>
    <row r="128" spans="1:11" ht="15.75" customHeight="1" x14ac:dyDescent="0.25">
      <c r="A128" s="23">
        <v>15086</v>
      </c>
      <c r="B128" s="14">
        <v>4045.02</v>
      </c>
      <c r="C128" s="14"/>
      <c r="D128" s="32"/>
      <c r="E128" s="14"/>
      <c r="F128" s="14"/>
      <c r="G128" s="49"/>
      <c r="H128" s="8"/>
      <c r="K128" s="14"/>
    </row>
    <row r="129" spans="1:11" ht="15.75" customHeight="1" x14ac:dyDescent="0.25">
      <c r="A129" s="23">
        <v>15087</v>
      </c>
      <c r="B129" s="14">
        <v>40</v>
      </c>
      <c r="C129" s="14"/>
      <c r="D129" s="32"/>
      <c r="E129" s="14"/>
      <c r="F129" s="14"/>
      <c r="G129" s="49"/>
      <c r="H129" s="8"/>
      <c r="K129" s="14"/>
    </row>
    <row r="130" spans="1:11" ht="15.75" customHeight="1" x14ac:dyDescent="0.25">
      <c r="A130" s="23">
        <v>15088</v>
      </c>
      <c r="B130" s="14">
        <v>451.17</v>
      </c>
      <c r="C130" s="14"/>
      <c r="D130" s="32"/>
      <c r="E130" s="14"/>
      <c r="F130" s="14"/>
      <c r="G130" s="49"/>
      <c r="H130" s="8"/>
      <c r="K130" s="14"/>
    </row>
    <row r="131" spans="1:11" ht="15.75" customHeight="1" x14ac:dyDescent="0.25">
      <c r="A131" s="23">
        <v>15089</v>
      </c>
      <c r="B131" s="14">
        <v>80</v>
      </c>
      <c r="C131" s="14"/>
      <c r="D131" s="32"/>
      <c r="E131" s="14"/>
      <c r="F131" s="14"/>
      <c r="G131" s="49"/>
      <c r="H131" s="8"/>
      <c r="K131" s="14"/>
    </row>
    <row r="132" spans="1:11" ht="15.75" customHeight="1" x14ac:dyDescent="0.25">
      <c r="B132" s="46">
        <f>SUM(B93:B131)</f>
        <v>69998.950000000012</v>
      </c>
      <c r="C132" s="14"/>
      <c r="D132" s="32"/>
      <c r="E132" s="14"/>
      <c r="F132" s="14"/>
      <c r="G132" s="49"/>
      <c r="H132" s="8"/>
      <c r="K132" s="14"/>
    </row>
    <row r="133" spans="1:11" ht="15.75" customHeight="1" x14ac:dyDescent="0.25">
      <c r="C133" s="14"/>
      <c r="D133" s="32"/>
      <c r="E133" s="14"/>
      <c r="F133" s="14"/>
      <c r="G133" s="49"/>
      <c r="H133" s="8"/>
      <c r="K133" s="14"/>
    </row>
    <row r="134" spans="1:11" ht="15.75" customHeight="1" x14ac:dyDescent="0.25">
      <c r="C134" s="14"/>
      <c r="D134" s="32"/>
      <c r="E134" s="14"/>
      <c r="F134" s="14"/>
      <c r="G134" s="49"/>
      <c r="H134" s="8"/>
      <c r="K134" s="14"/>
    </row>
    <row r="135" spans="1:11" ht="15.75" customHeight="1" x14ac:dyDescent="0.25">
      <c r="C135" s="14"/>
      <c r="D135" s="32"/>
      <c r="E135" s="14"/>
      <c r="F135" s="14"/>
      <c r="G135" s="49"/>
      <c r="H135" s="8"/>
      <c r="K135" s="14"/>
    </row>
    <row r="136" spans="1:11" ht="15.75" customHeight="1" x14ac:dyDescent="0.25">
      <c r="C136" s="14"/>
      <c r="D136" s="32"/>
      <c r="E136" s="14"/>
      <c r="F136" s="14"/>
      <c r="G136" s="49"/>
      <c r="H136" s="8"/>
      <c r="K136" s="14"/>
    </row>
    <row r="137" spans="1:11" ht="15.75" customHeight="1" x14ac:dyDescent="0.25">
      <c r="C137" s="14"/>
      <c r="D137" s="32"/>
      <c r="E137" s="14"/>
      <c r="F137" s="14"/>
      <c r="G137" s="49"/>
      <c r="H137" s="8"/>
      <c r="K137" s="14"/>
    </row>
    <row r="138" spans="1:11" ht="15.75" customHeight="1" x14ac:dyDescent="0.25">
      <c r="C138" s="14"/>
      <c r="D138" s="32"/>
      <c r="E138" s="14"/>
      <c r="F138" s="14"/>
      <c r="G138" s="49"/>
      <c r="H138" s="8"/>
      <c r="K138" s="14"/>
    </row>
    <row r="139" spans="1:11" ht="15.75" customHeight="1" x14ac:dyDescent="0.25">
      <c r="C139" s="14"/>
      <c r="D139" s="32"/>
      <c r="E139" s="14"/>
      <c r="F139" s="14"/>
      <c r="G139" s="49"/>
      <c r="H139" s="8"/>
      <c r="K139" s="14"/>
    </row>
    <row r="140" spans="1:11" ht="15.75" customHeight="1" x14ac:dyDescent="0.25">
      <c r="C140" s="14"/>
      <c r="D140" s="32"/>
      <c r="E140" s="14"/>
      <c r="F140" s="14"/>
      <c r="G140" s="49"/>
      <c r="H140" s="8"/>
      <c r="K140" s="14"/>
    </row>
    <row r="141" spans="1:11" ht="15.75" customHeight="1" x14ac:dyDescent="0.25">
      <c r="B141" s="22"/>
      <c r="C141" s="14"/>
      <c r="D141" s="32"/>
      <c r="E141" s="14"/>
      <c r="F141" s="14"/>
      <c r="G141" s="49"/>
      <c r="H141" s="8"/>
      <c r="K141" s="14"/>
    </row>
    <row r="142" spans="1:11" ht="15.75" customHeight="1" x14ac:dyDescent="0.25">
      <c r="C142" s="14"/>
      <c r="D142" s="32"/>
      <c r="E142" s="14"/>
      <c r="F142" s="14"/>
      <c r="G142" s="49"/>
      <c r="H142" s="8"/>
      <c r="K142" s="14"/>
    </row>
    <row r="143" spans="1:11" ht="15.75" customHeight="1" x14ac:dyDescent="0.25">
      <c r="C143" s="14"/>
      <c r="D143" s="32"/>
      <c r="E143" s="14"/>
      <c r="F143" s="14"/>
      <c r="G143" s="49"/>
      <c r="H143" s="8"/>
      <c r="K143" s="14"/>
    </row>
    <row r="144" spans="1:11" ht="15.75" customHeight="1" x14ac:dyDescent="0.25">
      <c r="C144" s="14"/>
      <c r="D144" s="32"/>
      <c r="E144" s="14"/>
      <c r="F144" s="14"/>
      <c r="G144" s="49"/>
      <c r="H144" s="8"/>
      <c r="K144" s="14"/>
    </row>
    <row r="145" spans="1:11" ht="15.75" customHeight="1" x14ac:dyDescent="0.25">
      <c r="B145" s="14"/>
      <c r="C145" s="14"/>
      <c r="D145" s="32"/>
      <c r="E145" s="14"/>
      <c r="F145" s="14"/>
      <c r="G145" s="49"/>
      <c r="H145" s="8"/>
      <c r="K145" s="14"/>
    </row>
    <row r="146" spans="1:11" ht="15.75" customHeight="1" x14ac:dyDescent="0.25">
      <c r="B146" s="14"/>
      <c r="C146" s="14"/>
      <c r="D146" s="32"/>
      <c r="E146" s="14"/>
      <c r="F146" s="14"/>
      <c r="G146" s="49"/>
      <c r="H146" s="8"/>
      <c r="K146" s="14"/>
    </row>
    <row r="147" spans="1:11" ht="15.75" customHeight="1" x14ac:dyDescent="0.25">
      <c r="B147" s="14"/>
      <c r="C147" s="14"/>
      <c r="D147" s="32"/>
      <c r="E147" s="14"/>
      <c r="F147" s="14"/>
      <c r="G147" s="49"/>
      <c r="H147" s="8"/>
      <c r="K147" s="14"/>
    </row>
    <row r="148" spans="1:11" ht="15.75" customHeight="1" x14ac:dyDescent="0.25">
      <c r="B148" s="14"/>
      <c r="C148" s="22"/>
      <c r="H148" s="8"/>
    </row>
    <row r="149" spans="1:11" ht="15.75" customHeight="1" x14ac:dyDescent="0.25">
      <c r="B149" s="14"/>
      <c r="E149" s="14"/>
    </row>
    <row r="150" spans="1:11" ht="15.75" customHeight="1" x14ac:dyDescent="0.25">
      <c r="B150" s="14"/>
    </row>
    <row r="151" spans="1:11" ht="15.75" customHeight="1" x14ac:dyDescent="0.25">
      <c r="B151" s="14"/>
      <c r="E151" s="14"/>
    </row>
    <row r="152" spans="1:11" ht="15.75" customHeight="1" x14ac:dyDescent="0.25">
      <c r="B152" s="14"/>
    </row>
    <row r="153" spans="1:11" ht="15.75" customHeight="1" x14ac:dyDescent="0.25">
      <c r="B153" s="14"/>
    </row>
    <row r="154" spans="1:11" ht="15.75" customHeight="1" x14ac:dyDescent="0.25">
      <c r="B154" s="14"/>
      <c r="C154" s="22"/>
    </row>
    <row r="155" spans="1:11" ht="15.75" customHeight="1" x14ac:dyDescent="0.25">
      <c r="B155" s="14"/>
    </row>
    <row r="156" spans="1:11" ht="15.75" customHeight="1" x14ac:dyDescent="0.25">
      <c r="B156" s="14"/>
    </row>
    <row r="157" spans="1:11" ht="15.75" customHeight="1" x14ac:dyDescent="0.25">
      <c r="B157" s="14"/>
    </row>
    <row r="158" spans="1:11" ht="15.75" customHeight="1" x14ac:dyDescent="0.25">
      <c r="B158" s="14"/>
    </row>
    <row r="159" spans="1:11" ht="15.75" customHeight="1" x14ac:dyDescent="0.25">
      <c r="A159" s="22"/>
      <c r="B159" s="14"/>
    </row>
    <row r="160" spans="1:11" ht="15.75" customHeight="1" x14ac:dyDescent="0.25">
      <c r="A160" s="22"/>
      <c r="B160" s="14"/>
    </row>
    <row r="161" spans="1:2" ht="15.75" customHeight="1" x14ac:dyDescent="0.25">
      <c r="A161" s="51"/>
      <c r="B161" s="14"/>
    </row>
    <row r="162" spans="1:2" ht="15.75" customHeight="1" x14ac:dyDescent="0.25">
      <c r="A162" s="51"/>
      <c r="B162" s="14"/>
    </row>
    <row r="163" spans="1:2" ht="15.75" customHeight="1" x14ac:dyDescent="0.25">
      <c r="A163" s="51"/>
      <c r="B163" s="14"/>
    </row>
    <row r="164" spans="1:2" ht="15.75" customHeight="1" x14ac:dyDescent="0.25">
      <c r="A164" s="51"/>
      <c r="B164" s="14"/>
    </row>
    <row r="165" spans="1:2" ht="15.75" customHeight="1" x14ac:dyDescent="0.25">
      <c r="A165" s="51"/>
      <c r="B165" s="14"/>
    </row>
    <row r="166" spans="1:2" ht="15.75" customHeight="1" x14ac:dyDescent="0.25">
      <c r="A166" s="51"/>
      <c r="B166" s="14"/>
    </row>
    <row r="167" spans="1:2" ht="15.75" customHeight="1" x14ac:dyDescent="0.25">
      <c r="A167" s="51"/>
      <c r="B167" s="14"/>
    </row>
    <row r="168" spans="1:2" ht="15.75" customHeight="1" x14ac:dyDescent="0.25">
      <c r="A168" s="51"/>
      <c r="B168" s="14"/>
    </row>
    <row r="169" spans="1:2" ht="15.75" customHeight="1" x14ac:dyDescent="0.25">
      <c r="A169" s="51"/>
      <c r="B169" s="14"/>
    </row>
    <row r="170" spans="1:2" ht="15.75" customHeight="1" x14ac:dyDescent="0.25">
      <c r="A170" s="51"/>
      <c r="B170" s="14"/>
    </row>
    <row r="171" spans="1:2" ht="15.75" customHeight="1" x14ac:dyDescent="0.25">
      <c r="A171" s="51"/>
      <c r="B171" s="14"/>
    </row>
    <row r="172" spans="1:2" ht="15.75" customHeight="1" x14ac:dyDescent="0.25">
      <c r="A172" s="51"/>
      <c r="B172" s="14"/>
    </row>
    <row r="173" spans="1:2" ht="15.75" customHeight="1" x14ac:dyDescent="0.25">
      <c r="A173" s="51"/>
    </row>
    <row r="174" spans="1:2" ht="15.75" customHeight="1" x14ac:dyDescent="0.25">
      <c r="A174" s="51"/>
      <c r="B174" s="14"/>
    </row>
    <row r="175" spans="1:2" ht="15.75" customHeight="1" x14ac:dyDescent="0.25">
      <c r="A175" s="51"/>
    </row>
    <row r="176" spans="1:2" ht="15.75" customHeight="1" x14ac:dyDescent="0.25">
      <c r="A176" s="51"/>
    </row>
    <row r="177" spans="1:1" ht="15.75" customHeight="1" x14ac:dyDescent="0.25"/>
    <row r="178" spans="1:1" ht="15.75" customHeight="1" x14ac:dyDescent="0.25"/>
    <row r="179" spans="1:1" ht="15.75" customHeight="1" x14ac:dyDescent="0.25"/>
    <row r="180" spans="1:1" ht="15.75" customHeight="1" x14ac:dyDescent="0.25"/>
    <row r="181" spans="1:1" ht="15.75" customHeight="1" x14ac:dyDescent="0.25"/>
    <row r="182" spans="1:1" ht="15.75" customHeight="1" x14ac:dyDescent="0.25"/>
    <row r="183" spans="1:1" ht="15.75" customHeight="1" x14ac:dyDescent="0.25"/>
    <row r="184" spans="1:1" ht="15.75" customHeight="1" x14ac:dyDescent="0.25"/>
    <row r="185" spans="1:1" ht="15.75" customHeight="1" x14ac:dyDescent="0.25"/>
    <row r="186" spans="1:1" ht="15.75" customHeight="1" x14ac:dyDescent="0.25"/>
    <row r="187" spans="1:1" ht="15.75" customHeight="1" x14ac:dyDescent="0.25"/>
    <row r="188" spans="1:1" ht="15.75" customHeight="1" x14ac:dyDescent="0.25"/>
    <row r="189" spans="1:1" ht="15.75" customHeight="1" x14ac:dyDescent="0.25"/>
    <row r="190" spans="1:1" ht="15.75" customHeight="1" x14ac:dyDescent="0.25">
      <c r="A190" s="51"/>
    </row>
    <row r="191" spans="1:1" ht="15.75" customHeight="1" x14ac:dyDescent="0.25"/>
    <row r="192" spans="1:1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1:A12"/>
    <mergeCell ref="A92:B92"/>
    <mergeCell ref="C92:D92"/>
    <mergeCell ref="E98:F98"/>
  </mergeCells>
  <printOptions gridLines="1"/>
  <pageMargins left="0.7" right="0.7" top="0.75" bottom="0.75" header="0" footer="0"/>
  <pageSetup orientation="landscape"/>
  <rowBreaks count="2" manualBreakCount="2">
    <brk id="37" man="1"/>
    <brk id="73" man="1"/>
  </rowBreaks>
  <colBreaks count="1" manualBreakCount="1">
    <brk id="9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000"/>
  <sheetViews>
    <sheetView workbookViewId="0"/>
  </sheetViews>
  <sheetFormatPr defaultColWidth="14.42578125" defaultRowHeight="15" customHeight="1" x14ac:dyDescent="0.25"/>
  <cols>
    <col min="1" max="1" width="16.7109375" customWidth="1"/>
    <col min="3" max="3" width="16" customWidth="1"/>
    <col min="4" max="4" width="16.140625" customWidth="1"/>
    <col min="5" max="5" width="16.7109375" customWidth="1"/>
    <col min="6" max="6" width="13.28515625" customWidth="1"/>
    <col min="7" max="7" width="14.5703125" customWidth="1"/>
    <col min="9" max="9" width="14.140625" customWidth="1"/>
    <col min="10" max="10" width="12.85546875" customWidth="1"/>
    <col min="11" max="11" width="12.5703125" customWidth="1"/>
    <col min="12" max="12" width="8.7109375" customWidth="1"/>
    <col min="13" max="13" width="13.42578125" customWidth="1"/>
    <col min="14" max="26" width="8.7109375" customWidth="1"/>
  </cols>
  <sheetData>
    <row r="1" spans="1:26" x14ac:dyDescent="0.25">
      <c r="A1" s="1"/>
      <c r="B1" s="1"/>
      <c r="C1" s="1"/>
      <c r="D1" s="1"/>
      <c r="E1" s="1"/>
      <c r="F1" s="1"/>
      <c r="G1" s="1"/>
    </row>
    <row r="2" spans="1:26" x14ac:dyDescent="0.25">
      <c r="A2" s="2"/>
      <c r="B2" s="3"/>
      <c r="C2" s="4"/>
      <c r="D2" s="4"/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x14ac:dyDescent="0.25">
      <c r="A3" s="6"/>
      <c r="B3" s="6"/>
      <c r="C3" s="7"/>
      <c r="D3" s="7"/>
      <c r="E3" s="7"/>
      <c r="F3" s="7"/>
      <c r="G3" s="7"/>
      <c r="H3" s="7"/>
      <c r="I3" s="7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x14ac:dyDescent="0.25">
      <c r="A4" s="8"/>
      <c r="B4" s="9"/>
      <c r="C4" s="10"/>
      <c r="D4" s="10"/>
      <c r="E4" s="10"/>
      <c r="F4" s="10"/>
      <c r="G4" s="10"/>
      <c r="H4" s="10"/>
      <c r="I4" s="10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x14ac:dyDescent="0.25">
      <c r="A5" s="8"/>
      <c r="B5" s="9"/>
      <c r="C5" s="12"/>
      <c r="D5" s="12"/>
      <c r="E5" s="12"/>
      <c r="F5" s="12"/>
      <c r="G5" s="10"/>
      <c r="H5" s="10"/>
      <c r="I5" s="10"/>
      <c r="J5" s="13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x14ac:dyDescent="0.25">
      <c r="A6" s="8"/>
      <c r="B6" s="9"/>
      <c r="C6" s="10"/>
      <c r="E6" s="10"/>
      <c r="F6" s="10"/>
      <c r="G6" s="10"/>
      <c r="H6" s="10"/>
      <c r="I6" s="10"/>
    </row>
    <row r="7" spans="1:26" x14ac:dyDescent="0.25">
      <c r="A7" s="8"/>
      <c r="B7" s="9"/>
      <c r="C7" s="10"/>
      <c r="D7" s="10"/>
      <c r="E7" s="10"/>
      <c r="F7" s="10"/>
      <c r="G7" s="10"/>
      <c r="H7" s="10"/>
      <c r="I7" s="10"/>
      <c r="J7" s="14"/>
    </row>
    <row r="8" spans="1:26" x14ac:dyDescent="0.25">
      <c r="A8" s="8"/>
      <c r="B8" s="9"/>
      <c r="C8" s="10"/>
      <c r="D8" s="10"/>
      <c r="E8" s="10"/>
      <c r="F8" s="10"/>
      <c r="G8" s="10"/>
      <c r="H8" s="10"/>
      <c r="I8" s="10"/>
      <c r="J8" s="14"/>
      <c r="V8" s="5"/>
      <c r="W8" s="5"/>
    </row>
    <row r="9" spans="1:26" x14ac:dyDescent="0.25">
      <c r="A9" s="1"/>
      <c r="B9" s="15"/>
      <c r="C9" s="15"/>
      <c r="D9" s="15"/>
      <c r="E9" s="15"/>
      <c r="F9" s="15"/>
      <c r="G9" s="15"/>
      <c r="H9" s="15"/>
      <c r="I9" s="15"/>
      <c r="V9" s="5"/>
      <c r="W9" s="5"/>
    </row>
    <row r="10" spans="1:26" x14ac:dyDescent="0.25">
      <c r="A10" s="1"/>
      <c r="B10" s="9"/>
      <c r="C10" s="9"/>
      <c r="D10" s="9"/>
      <c r="E10" s="9"/>
      <c r="F10" s="9"/>
      <c r="G10" s="9"/>
      <c r="H10" s="9"/>
      <c r="I10" s="9"/>
      <c r="J10" s="14"/>
      <c r="V10" s="5"/>
      <c r="W10" s="5"/>
    </row>
    <row r="11" spans="1:26" x14ac:dyDescent="0.25">
      <c r="A11" s="67"/>
      <c r="B11" s="16"/>
      <c r="C11" s="17"/>
      <c r="D11" s="17"/>
      <c r="E11" s="17"/>
      <c r="F11" s="17"/>
      <c r="G11" s="17"/>
      <c r="H11" s="17"/>
      <c r="I11" s="17"/>
      <c r="V11" s="5"/>
      <c r="W11" s="5"/>
    </row>
    <row r="12" spans="1:26" x14ac:dyDescent="0.25">
      <c r="A12" s="68"/>
      <c r="B12" s="16"/>
      <c r="C12" s="18"/>
      <c r="D12" s="18"/>
      <c r="E12" s="18"/>
      <c r="F12" s="18"/>
      <c r="G12" s="18"/>
      <c r="H12" s="18"/>
      <c r="I12" s="18"/>
      <c r="J12" s="14"/>
      <c r="V12" s="5"/>
      <c r="W12" s="5"/>
    </row>
    <row r="13" spans="1:26" x14ac:dyDescent="0.25">
      <c r="A13" s="19"/>
      <c r="B13" s="9"/>
      <c r="C13" s="10"/>
      <c r="D13" s="10"/>
      <c r="E13" s="10"/>
      <c r="F13" s="10"/>
      <c r="G13" s="10"/>
      <c r="H13" s="10"/>
      <c r="I13" s="10"/>
      <c r="V13" s="5"/>
      <c r="W13" s="5"/>
    </row>
    <row r="14" spans="1:26" x14ac:dyDescent="0.25">
      <c r="A14" s="20"/>
      <c r="B14" s="10"/>
      <c r="C14" s="10"/>
      <c r="D14" s="10"/>
      <c r="E14" s="10"/>
      <c r="F14" s="10"/>
      <c r="H14" s="10"/>
      <c r="I14" s="10"/>
      <c r="J14" s="14"/>
      <c r="V14" s="5"/>
      <c r="W14" s="5"/>
    </row>
    <row r="15" spans="1:26" x14ac:dyDescent="0.25">
      <c r="A15" s="20"/>
      <c r="B15" s="10"/>
      <c r="C15" s="10"/>
      <c r="D15" s="10"/>
      <c r="E15" s="10"/>
      <c r="F15" s="10"/>
      <c r="V15" s="5"/>
      <c r="W15" s="5"/>
    </row>
    <row r="16" spans="1:26" x14ac:dyDescent="0.25">
      <c r="A16" s="21"/>
      <c r="B16" s="10"/>
      <c r="C16" s="10"/>
      <c r="D16" s="10"/>
      <c r="E16" s="10"/>
      <c r="F16" s="10"/>
      <c r="G16" s="10"/>
      <c r="H16" s="10"/>
      <c r="I16" s="10"/>
      <c r="J16" s="14"/>
      <c r="V16" s="5"/>
      <c r="W16" s="5"/>
    </row>
    <row r="17" spans="1:26" x14ac:dyDescent="0.25">
      <c r="A17" s="21"/>
      <c r="B17" s="10"/>
      <c r="C17" s="10"/>
      <c r="D17" s="10"/>
      <c r="E17" s="10"/>
      <c r="F17" s="10"/>
      <c r="G17" s="10"/>
      <c r="H17" s="10"/>
      <c r="I17" s="10"/>
      <c r="J17" s="22"/>
      <c r="K17" s="22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5"/>
      <c r="W17" s="5"/>
      <c r="X17" s="23"/>
      <c r="Y17" s="23"/>
      <c r="Z17" s="23"/>
    </row>
    <row r="18" spans="1:26" x14ac:dyDescent="0.25">
      <c r="A18" s="21"/>
      <c r="B18" s="10"/>
      <c r="C18" s="10"/>
      <c r="D18" s="10"/>
      <c r="E18" s="10"/>
      <c r="F18" s="10"/>
      <c r="G18" s="10"/>
      <c r="H18" s="10"/>
      <c r="I18" s="10"/>
      <c r="J18" s="22"/>
      <c r="K18" s="22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5"/>
      <c r="W18" s="5"/>
      <c r="X18" s="23"/>
      <c r="Y18" s="23"/>
      <c r="Z18" s="23"/>
    </row>
    <row r="19" spans="1:26" x14ac:dyDescent="0.25">
      <c r="A19" s="21"/>
      <c r="B19" s="10"/>
      <c r="C19" s="10"/>
      <c r="D19" s="10"/>
      <c r="E19" s="10"/>
      <c r="F19" s="10"/>
      <c r="G19" s="10"/>
      <c r="H19" s="10"/>
      <c r="I19" s="10"/>
      <c r="V19" s="5"/>
      <c r="W19" s="5"/>
    </row>
    <row r="20" spans="1:26" x14ac:dyDescent="0.25">
      <c r="A20" s="21"/>
      <c r="B20" s="10"/>
      <c r="C20" s="10"/>
      <c r="D20" s="10"/>
      <c r="E20" s="10"/>
      <c r="G20" s="10"/>
      <c r="H20" s="10"/>
      <c r="I20" s="10"/>
      <c r="V20" s="5"/>
      <c r="W20" s="5"/>
    </row>
    <row r="21" spans="1:26" ht="15.75" customHeight="1" x14ac:dyDescent="0.25">
      <c r="A21" s="21"/>
      <c r="B21" s="10"/>
      <c r="C21" s="10"/>
      <c r="D21" s="10"/>
      <c r="E21" s="10"/>
      <c r="F21" s="10"/>
      <c r="H21" s="24"/>
      <c r="I21" s="10"/>
      <c r="J21" s="25"/>
      <c r="K21" s="25"/>
      <c r="L21" s="25"/>
      <c r="V21" s="5"/>
      <c r="W21" s="5"/>
    </row>
    <row r="22" spans="1:26" ht="15.75" customHeight="1" x14ac:dyDescent="0.25">
      <c r="A22" s="1"/>
      <c r="B22" s="26"/>
      <c r="C22" s="9"/>
      <c r="D22" s="9"/>
      <c r="E22" s="9"/>
      <c r="F22" s="9"/>
      <c r="G22" s="9"/>
      <c r="H22" s="9"/>
      <c r="I22" s="9"/>
      <c r="J22" s="10"/>
      <c r="K22" s="10"/>
      <c r="L22" s="10"/>
      <c r="V22" s="5"/>
      <c r="W22" s="5"/>
    </row>
    <row r="23" spans="1:26" ht="15.75" customHeight="1" x14ac:dyDescent="0.25">
      <c r="A23" s="1"/>
      <c r="B23" s="26"/>
      <c r="C23" s="10"/>
      <c r="D23" s="10"/>
      <c r="E23" s="10"/>
      <c r="F23" s="10"/>
      <c r="G23" s="21"/>
      <c r="H23" s="21"/>
      <c r="I23" s="21"/>
      <c r="J23" s="10"/>
      <c r="K23" s="10"/>
      <c r="L23" s="10"/>
      <c r="V23" s="5"/>
      <c r="W23" s="5"/>
    </row>
    <row r="24" spans="1:26" ht="15.75" customHeight="1" x14ac:dyDescent="0.25">
      <c r="A24" s="1"/>
      <c r="B24" s="9"/>
      <c r="C24" s="10"/>
      <c r="D24" s="10"/>
      <c r="E24" s="10"/>
      <c r="F24" s="10"/>
      <c r="G24" s="10"/>
      <c r="H24" s="10"/>
      <c r="I24" s="10"/>
      <c r="J24" s="14"/>
      <c r="K24" s="14"/>
      <c r="L24" s="14"/>
      <c r="M24" s="14"/>
      <c r="V24" s="5"/>
      <c r="W24" s="5"/>
    </row>
    <row r="25" spans="1:26" ht="15.75" customHeight="1" x14ac:dyDescent="0.25">
      <c r="A25" s="1"/>
      <c r="B25" s="9"/>
      <c r="C25" s="10"/>
      <c r="D25" s="10"/>
      <c r="E25" s="10"/>
      <c r="F25" s="10"/>
      <c r="G25" s="10"/>
      <c r="H25" s="10"/>
      <c r="I25" s="10"/>
      <c r="J25" s="14"/>
      <c r="K25" s="14"/>
      <c r="L25" s="14"/>
      <c r="M25" s="14"/>
      <c r="V25" s="5"/>
      <c r="W25" s="5"/>
    </row>
    <row r="26" spans="1:26" ht="15.75" customHeight="1" x14ac:dyDescent="0.25">
      <c r="A26" s="1"/>
      <c r="B26" s="9"/>
      <c r="C26" s="10"/>
      <c r="D26" s="10"/>
      <c r="E26" s="10"/>
      <c r="F26" s="10"/>
      <c r="G26" s="10"/>
      <c r="H26" s="10"/>
      <c r="I26" s="10"/>
      <c r="J26" s="14"/>
      <c r="K26" s="14"/>
      <c r="L26" s="14"/>
      <c r="M26" s="14"/>
      <c r="V26" s="5"/>
      <c r="W26" s="5"/>
    </row>
    <row r="27" spans="1:26" ht="15.75" customHeight="1" x14ac:dyDescent="0.25">
      <c r="A27" s="1"/>
      <c r="B27" s="9"/>
      <c r="C27" s="10"/>
      <c r="D27" s="10"/>
      <c r="E27" s="10"/>
      <c r="F27" s="10"/>
      <c r="G27" s="10"/>
      <c r="H27" s="10"/>
      <c r="I27" s="10"/>
      <c r="M27" s="14"/>
      <c r="V27" s="5"/>
    </row>
    <row r="28" spans="1:26" ht="15.75" customHeight="1" x14ac:dyDescent="0.25">
      <c r="A28" s="1"/>
      <c r="B28" s="9"/>
      <c r="C28" s="10"/>
      <c r="D28" s="10"/>
      <c r="E28" s="10"/>
      <c r="F28" s="10"/>
      <c r="G28" s="10"/>
      <c r="H28" s="10"/>
      <c r="I28" s="10"/>
      <c r="M28" s="14"/>
      <c r="V28" s="5"/>
    </row>
    <row r="29" spans="1:26" ht="15.75" customHeight="1" x14ac:dyDescent="0.25">
      <c r="A29" s="1"/>
      <c r="B29" s="9"/>
      <c r="C29" s="10"/>
      <c r="D29" s="10"/>
      <c r="E29" s="10"/>
      <c r="F29" s="10"/>
      <c r="G29" s="10"/>
      <c r="H29" s="10"/>
      <c r="I29" s="10"/>
      <c r="M29" s="14"/>
      <c r="V29" s="5"/>
    </row>
    <row r="30" spans="1:26" ht="15.75" customHeight="1" x14ac:dyDescent="0.25">
      <c r="A30" s="1"/>
      <c r="B30" s="9"/>
      <c r="C30" s="10"/>
      <c r="D30" s="10"/>
      <c r="E30" s="10"/>
      <c r="F30" s="10"/>
      <c r="G30" s="10"/>
      <c r="H30" s="10"/>
      <c r="I30" s="10"/>
      <c r="M30" s="14"/>
      <c r="X30" s="27"/>
    </row>
    <row r="31" spans="1:26" ht="15.75" customHeight="1" x14ac:dyDescent="0.25">
      <c r="A31" s="1"/>
      <c r="B31" s="26"/>
      <c r="C31" s="10"/>
      <c r="D31" s="10"/>
      <c r="E31" s="10"/>
      <c r="F31" s="10"/>
      <c r="G31" s="10"/>
      <c r="H31" s="10"/>
      <c r="I31" s="10"/>
      <c r="M31" s="14"/>
    </row>
    <row r="32" spans="1:26" ht="15.75" customHeight="1" x14ac:dyDescent="0.25">
      <c r="A32" s="1"/>
      <c r="B32" s="26"/>
      <c r="C32" s="10"/>
      <c r="D32" s="10"/>
      <c r="E32" s="10"/>
      <c r="F32" s="10"/>
      <c r="H32" s="25"/>
      <c r="I32" s="25"/>
    </row>
    <row r="33" spans="1:10" ht="15.75" customHeight="1" x14ac:dyDescent="0.25">
      <c r="A33" s="1"/>
      <c r="B33" s="26"/>
      <c r="C33" s="10"/>
      <c r="D33" s="10"/>
      <c r="E33" s="10"/>
    </row>
    <row r="34" spans="1:10" ht="15.75" customHeight="1" x14ac:dyDescent="0.25">
      <c r="A34" s="1"/>
      <c r="B34" s="26"/>
      <c r="C34" s="10"/>
      <c r="D34" s="10"/>
      <c r="E34" s="10"/>
    </row>
    <row r="35" spans="1:10" ht="15.75" customHeight="1" x14ac:dyDescent="0.25">
      <c r="A35" s="1"/>
      <c r="B35" s="26"/>
      <c r="C35" s="10"/>
      <c r="D35" s="10"/>
      <c r="E35" s="10"/>
    </row>
    <row r="36" spans="1:10" ht="15.75" customHeight="1" x14ac:dyDescent="0.25">
      <c r="A36" s="1"/>
      <c r="B36" s="15"/>
      <c r="C36" s="12"/>
      <c r="D36" s="12"/>
      <c r="E36" s="12"/>
      <c r="F36" s="12"/>
      <c r="G36" s="12"/>
      <c r="H36" s="12"/>
      <c r="I36" s="12"/>
    </row>
    <row r="37" spans="1:10" ht="15.75" customHeight="1" x14ac:dyDescent="0.25">
      <c r="A37" s="1"/>
      <c r="B37" s="9"/>
      <c r="C37" s="12"/>
      <c r="D37" s="12"/>
      <c r="E37" s="12"/>
      <c r="F37" s="12"/>
      <c r="G37" s="12"/>
      <c r="H37" s="12"/>
      <c r="I37" s="12"/>
    </row>
    <row r="38" spans="1:10" ht="15.75" customHeight="1" x14ac:dyDescent="0.25">
      <c r="A38" s="1"/>
      <c r="B38" s="9"/>
      <c r="C38" s="9"/>
      <c r="D38" s="9"/>
      <c r="E38" s="9"/>
      <c r="F38" s="9"/>
      <c r="G38" s="9"/>
      <c r="H38" s="9"/>
      <c r="I38" s="9"/>
      <c r="J38" s="12"/>
    </row>
    <row r="39" spans="1:10" ht="15.75" customHeight="1" x14ac:dyDescent="0.25">
      <c r="A39" s="28"/>
      <c r="B39" s="16"/>
      <c r="C39" s="17"/>
      <c r="D39" s="17"/>
      <c r="E39" s="17"/>
      <c r="F39" s="17"/>
      <c r="G39" s="17"/>
      <c r="H39" s="17"/>
      <c r="I39" s="17"/>
    </row>
    <row r="40" spans="1:10" ht="15.75" customHeight="1" x14ac:dyDescent="0.25">
      <c r="A40" s="29"/>
      <c r="B40" s="16"/>
      <c r="C40" s="17"/>
      <c r="D40" s="17"/>
      <c r="E40" s="17"/>
      <c r="F40" s="17"/>
      <c r="G40" s="58"/>
      <c r="H40" s="17"/>
      <c r="I40" s="17"/>
    </row>
    <row r="41" spans="1:10" ht="15.75" customHeight="1" x14ac:dyDescent="0.25">
      <c r="A41" s="19"/>
      <c r="B41" s="10"/>
      <c r="C41" s="10"/>
      <c r="D41" s="10"/>
      <c r="E41" s="10"/>
      <c r="F41" s="10"/>
      <c r="H41" s="25"/>
      <c r="I41" s="25"/>
    </row>
    <row r="42" spans="1:10" ht="15.75" customHeight="1" x14ac:dyDescent="0.25">
      <c r="A42" s="10"/>
      <c r="B42" s="10"/>
      <c r="C42" s="10"/>
      <c r="D42" s="10"/>
      <c r="E42" s="10"/>
      <c r="H42" s="25"/>
      <c r="I42" s="25"/>
    </row>
    <row r="43" spans="1:10" ht="15.75" customHeight="1" x14ac:dyDescent="0.25">
      <c r="A43" s="21"/>
      <c r="B43" s="10"/>
      <c r="C43" s="10"/>
      <c r="D43" s="10"/>
      <c r="E43" s="10"/>
      <c r="H43" s="25"/>
      <c r="I43" s="25"/>
    </row>
    <row r="44" spans="1:10" ht="15.75" customHeight="1" x14ac:dyDescent="0.25">
      <c r="A44" s="21"/>
      <c r="B44" s="10"/>
      <c r="C44" s="10"/>
      <c r="D44" s="10"/>
      <c r="E44" s="10"/>
      <c r="F44" s="10"/>
      <c r="H44" s="21"/>
      <c r="I44" s="21"/>
    </row>
    <row r="45" spans="1:10" ht="15.75" customHeight="1" x14ac:dyDescent="0.25">
      <c r="A45" s="21"/>
      <c r="B45" s="10"/>
      <c r="C45" s="10"/>
      <c r="D45" s="10"/>
      <c r="E45" s="10"/>
      <c r="F45" s="10"/>
      <c r="G45" s="21"/>
      <c r="H45" s="21"/>
      <c r="I45" s="21"/>
    </row>
    <row r="46" spans="1:10" ht="15.75" customHeight="1" x14ac:dyDescent="0.25">
      <c r="A46" s="1"/>
      <c r="B46" s="26"/>
      <c r="C46" s="10"/>
      <c r="D46" s="10"/>
      <c r="E46" s="10"/>
      <c r="F46" s="10"/>
      <c r="G46" s="26"/>
      <c r="H46" s="9"/>
      <c r="I46" s="9"/>
    </row>
    <row r="47" spans="1:10" ht="15.75" customHeight="1" x14ac:dyDescent="0.25">
      <c r="A47" s="1"/>
      <c r="B47" s="26"/>
      <c r="D47" s="10"/>
      <c r="E47" s="10"/>
      <c r="F47" s="10"/>
      <c r="G47" s="26"/>
      <c r="H47" s="9"/>
      <c r="I47" s="9"/>
    </row>
    <row r="48" spans="1:10" ht="15.75" customHeight="1" x14ac:dyDescent="0.25">
      <c r="A48" s="1"/>
      <c r="B48" s="9"/>
      <c r="C48" s="10"/>
      <c r="D48" s="10"/>
      <c r="E48" s="10"/>
      <c r="F48" s="10"/>
      <c r="G48" s="10"/>
      <c r="H48" s="10"/>
      <c r="I48" s="10"/>
    </row>
    <row r="49" spans="1:10" ht="15.75" customHeight="1" x14ac:dyDescent="0.25">
      <c r="A49" s="21"/>
      <c r="C49" s="10"/>
      <c r="D49" s="10"/>
      <c r="E49" s="10"/>
      <c r="F49" s="10"/>
      <c r="G49" s="10"/>
      <c r="H49" s="10"/>
      <c r="I49" s="10"/>
      <c r="J49" s="10"/>
    </row>
    <row r="50" spans="1:10" ht="15.75" customHeight="1" x14ac:dyDescent="0.25">
      <c r="A50" s="21"/>
      <c r="C50" s="10"/>
      <c r="D50" s="10"/>
      <c r="E50" s="10"/>
      <c r="F50" s="10"/>
      <c r="G50" s="10"/>
      <c r="H50" s="10"/>
      <c r="I50" s="10"/>
    </row>
    <row r="51" spans="1:10" ht="15.75" customHeight="1" x14ac:dyDescent="0.25">
      <c r="A51" s="21"/>
      <c r="C51" s="10"/>
      <c r="D51" s="10"/>
      <c r="E51" s="10"/>
      <c r="F51" s="10"/>
      <c r="G51" s="10"/>
      <c r="H51" s="10"/>
      <c r="I51" s="10"/>
    </row>
    <row r="52" spans="1:10" ht="15.75" customHeight="1" x14ac:dyDescent="0.25">
      <c r="A52" s="21"/>
      <c r="B52" s="10"/>
      <c r="C52" s="10"/>
      <c r="D52" s="10"/>
      <c r="E52" s="10"/>
      <c r="F52" s="10"/>
      <c r="G52" s="10"/>
      <c r="H52" s="10"/>
      <c r="I52" s="10"/>
    </row>
    <row r="53" spans="1:10" ht="15.75" customHeight="1" x14ac:dyDescent="0.25">
      <c r="A53" s="21"/>
      <c r="B53" s="10"/>
      <c r="C53" s="10"/>
      <c r="D53" s="10"/>
      <c r="E53" s="10"/>
      <c r="F53" s="10"/>
      <c r="G53" s="10"/>
      <c r="H53" s="10"/>
      <c r="I53" s="10"/>
    </row>
    <row r="54" spans="1:10" ht="15.75" customHeight="1" x14ac:dyDescent="0.25">
      <c r="A54" s="21"/>
      <c r="B54" s="10"/>
      <c r="C54" s="10"/>
      <c r="D54" s="10"/>
      <c r="E54" s="10"/>
      <c r="F54" s="10"/>
      <c r="G54" s="10"/>
      <c r="H54" s="10"/>
      <c r="I54" s="10"/>
    </row>
    <row r="55" spans="1:10" ht="15.75" customHeight="1" x14ac:dyDescent="0.25">
      <c r="A55" s="21"/>
      <c r="B55" s="10"/>
      <c r="C55" s="10"/>
      <c r="D55" s="10"/>
      <c r="E55" s="10"/>
      <c r="F55" s="10"/>
      <c r="G55" s="10"/>
      <c r="H55" s="10"/>
      <c r="I55" s="10"/>
    </row>
    <row r="56" spans="1:10" ht="15.75" customHeight="1" x14ac:dyDescent="0.25">
      <c r="A56" s="21"/>
      <c r="B56" s="10"/>
      <c r="C56" s="10"/>
      <c r="D56" s="10"/>
      <c r="E56" s="10"/>
      <c r="F56" s="10"/>
      <c r="G56" s="10"/>
      <c r="H56" s="10"/>
      <c r="I56" s="10"/>
    </row>
    <row r="57" spans="1:10" ht="15.75" customHeight="1" x14ac:dyDescent="0.25">
      <c r="A57" s="21"/>
      <c r="B57" s="10"/>
      <c r="C57" s="10"/>
      <c r="D57" s="10"/>
      <c r="E57" s="10"/>
      <c r="F57" s="10"/>
      <c r="G57" s="10"/>
      <c r="H57" s="10"/>
      <c r="I57" s="10"/>
    </row>
    <row r="58" spans="1:10" ht="15.75" customHeight="1" x14ac:dyDescent="0.25">
      <c r="A58" s="1"/>
      <c r="B58" s="26"/>
      <c r="C58" s="10"/>
      <c r="D58" s="10"/>
      <c r="E58" s="10"/>
      <c r="F58" s="10"/>
      <c r="G58" s="26"/>
      <c r="H58" s="9"/>
      <c r="I58" s="9"/>
    </row>
    <row r="59" spans="1:10" ht="15.75" customHeight="1" x14ac:dyDescent="0.25">
      <c r="A59" s="1"/>
      <c r="B59" s="15"/>
      <c r="C59" s="10"/>
      <c r="D59" s="10"/>
      <c r="E59" s="10"/>
      <c r="F59" s="10"/>
      <c r="G59" s="10"/>
      <c r="H59" s="10"/>
      <c r="I59" s="10"/>
    </row>
    <row r="60" spans="1:10" ht="15.75" customHeight="1" x14ac:dyDescent="0.25">
      <c r="A60" s="1"/>
      <c r="B60" s="9"/>
      <c r="C60" s="10"/>
      <c r="D60" s="10"/>
      <c r="E60" s="10"/>
      <c r="F60" s="10"/>
      <c r="G60" s="10"/>
      <c r="H60" s="10"/>
      <c r="I60" s="10"/>
    </row>
    <row r="61" spans="1:10" ht="15.75" customHeight="1" x14ac:dyDescent="0.25">
      <c r="A61" s="59"/>
      <c r="B61" s="60"/>
      <c r="C61" s="61"/>
      <c r="D61" s="61"/>
      <c r="E61" s="62"/>
      <c r="F61" s="61"/>
      <c r="G61" s="63"/>
      <c r="H61" s="63"/>
      <c r="I61" s="63"/>
    </row>
    <row r="62" spans="1:10" ht="15.75" customHeight="1" x14ac:dyDescent="0.25">
      <c r="A62" s="64"/>
      <c r="B62" s="60"/>
      <c r="C62" s="61"/>
      <c r="D62" s="61"/>
      <c r="E62" s="61"/>
      <c r="F62" s="61"/>
      <c r="G62" s="61"/>
      <c r="H62" s="61"/>
      <c r="I62" s="61"/>
    </row>
    <row r="63" spans="1:10" ht="15.75" customHeight="1" x14ac:dyDescent="0.25">
      <c r="A63" s="21"/>
      <c r="B63" s="10"/>
      <c r="C63" s="10"/>
      <c r="D63" s="10"/>
      <c r="E63" s="10"/>
      <c r="F63" s="10"/>
      <c r="G63" s="10"/>
      <c r="H63" s="10"/>
      <c r="I63" s="10"/>
    </row>
    <row r="64" spans="1:10" ht="15.7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</row>
    <row r="65" spans="1:9" ht="15.7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</row>
    <row r="66" spans="1:9" ht="15.75" customHeight="1" x14ac:dyDescent="0.25">
      <c r="A66" s="9"/>
      <c r="B66" s="15"/>
      <c r="C66" s="15"/>
      <c r="D66" s="9"/>
      <c r="E66" s="15"/>
      <c r="F66" s="10"/>
      <c r="G66" s="9"/>
      <c r="H66" s="9"/>
      <c r="I66" s="9"/>
    </row>
    <row r="67" spans="1:9" ht="15.75" customHeight="1" x14ac:dyDescent="0.25">
      <c r="A67" s="9"/>
      <c r="B67" s="9"/>
      <c r="C67" s="65"/>
      <c r="D67" s="9"/>
      <c r="E67" s="65"/>
      <c r="F67" s="10"/>
      <c r="G67" s="9"/>
      <c r="H67" s="9"/>
      <c r="I67" s="9"/>
    </row>
    <row r="68" spans="1:9" ht="15.75" customHeight="1" x14ac:dyDescent="0.25">
      <c r="A68" s="59"/>
      <c r="B68" s="60"/>
      <c r="C68" s="61"/>
      <c r="D68" s="61"/>
      <c r="E68" s="61"/>
      <c r="F68" s="61"/>
      <c r="G68" s="63"/>
      <c r="H68" s="63"/>
      <c r="I68" s="63"/>
    </row>
    <row r="69" spans="1:9" ht="15.75" customHeight="1" x14ac:dyDescent="0.25">
      <c r="A69" s="64"/>
      <c r="B69" s="60"/>
      <c r="C69" s="61"/>
      <c r="D69" s="61"/>
      <c r="E69" s="61"/>
      <c r="F69" s="61"/>
      <c r="G69" s="61"/>
      <c r="H69" s="61"/>
      <c r="I69" s="61"/>
    </row>
    <row r="70" spans="1:9" ht="15.75" customHeight="1" x14ac:dyDescent="0.25">
      <c r="A70" s="21"/>
      <c r="B70" s="10"/>
      <c r="C70" s="10"/>
      <c r="D70" s="10"/>
      <c r="E70" s="10"/>
      <c r="F70" s="10"/>
      <c r="G70" s="10"/>
      <c r="H70" s="10"/>
      <c r="I70" s="10"/>
    </row>
    <row r="71" spans="1:9" ht="15.7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</row>
    <row r="72" spans="1:9" ht="15.7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</row>
    <row r="73" spans="1:9" ht="15.75" customHeight="1" x14ac:dyDescent="0.25">
      <c r="A73" s="9"/>
      <c r="B73" s="15"/>
      <c r="C73" s="10"/>
      <c r="D73" s="15"/>
      <c r="E73" s="10"/>
      <c r="F73" s="10"/>
      <c r="G73" s="9"/>
      <c r="H73" s="9"/>
      <c r="I73" s="9"/>
    </row>
    <row r="74" spans="1:9" ht="15.7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</row>
    <row r="75" spans="1:9" ht="15.75" customHeight="1" x14ac:dyDescent="0.25">
      <c r="A75" s="2"/>
      <c r="B75" s="3"/>
      <c r="C75" s="4"/>
      <c r="D75" s="4"/>
      <c r="E75" s="4"/>
      <c r="F75" s="4"/>
      <c r="G75" s="4"/>
      <c r="H75" s="4"/>
      <c r="I75" s="4"/>
    </row>
    <row r="76" spans="1:9" ht="15.75" customHeight="1" x14ac:dyDescent="0.25">
      <c r="A76" s="6"/>
      <c r="B76" s="6"/>
      <c r="C76" s="7"/>
      <c r="D76" s="7"/>
      <c r="E76" s="7"/>
      <c r="F76" s="7"/>
      <c r="G76" s="7"/>
      <c r="H76" s="7"/>
      <c r="I76" s="7"/>
    </row>
    <row r="77" spans="1:9" ht="15.75" customHeight="1" x14ac:dyDescent="0.25">
      <c r="A77" s="8"/>
      <c r="B77" s="9"/>
      <c r="C77" s="10"/>
      <c r="D77" s="10"/>
      <c r="E77" s="10"/>
      <c r="F77" s="10"/>
      <c r="G77" s="10"/>
      <c r="H77" s="10"/>
      <c r="I77" s="10"/>
    </row>
    <row r="78" spans="1:9" ht="15.75" customHeight="1" x14ac:dyDescent="0.25">
      <c r="A78" s="8"/>
      <c r="B78" s="9"/>
      <c r="C78" s="12"/>
      <c r="D78" s="12"/>
      <c r="E78" s="12"/>
      <c r="F78" s="12"/>
      <c r="G78" s="10"/>
      <c r="H78" s="10"/>
      <c r="I78" s="10"/>
    </row>
    <row r="79" spans="1:9" ht="15.75" customHeight="1" x14ac:dyDescent="0.25">
      <c r="A79" s="8"/>
      <c r="B79" s="9"/>
      <c r="C79" s="10"/>
      <c r="E79" s="10"/>
      <c r="F79" s="10"/>
      <c r="G79" s="10"/>
      <c r="H79" s="10"/>
      <c r="I79" s="10"/>
    </row>
    <row r="80" spans="1:9" ht="15.75" customHeight="1" x14ac:dyDescent="0.25">
      <c r="A80" s="8"/>
      <c r="B80" s="9"/>
      <c r="C80" s="10"/>
      <c r="D80" s="10"/>
      <c r="E80" s="10"/>
      <c r="F80" s="10"/>
      <c r="G80" s="10"/>
      <c r="H80" s="10"/>
      <c r="I80" s="10"/>
    </row>
    <row r="81" spans="1:11" ht="15.75" customHeight="1" x14ac:dyDescent="0.25">
      <c r="A81" s="8"/>
      <c r="B81" s="9"/>
      <c r="C81" s="10"/>
      <c r="D81" s="10"/>
      <c r="E81" s="10"/>
      <c r="F81" s="10"/>
      <c r="G81" s="10"/>
      <c r="H81" s="10"/>
      <c r="I81" s="10"/>
    </row>
    <row r="82" spans="1:11" ht="15.75" customHeight="1" x14ac:dyDescent="0.25">
      <c r="A82" s="1"/>
      <c r="B82" s="15"/>
      <c r="C82" s="15"/>
      <c r="D82" s="15"/>
      <c r="E82" s="15"/>
      <c r="F82" s="15"/>
      <c r="G82" s="15"/>
      <c r="H82" s="15"/>
      <c r="I82" s="15"/>
    </row>
    <row r="83" spans="1:11" ht="15.75" customHeight="1" x14ac:dyDescent="0.25">
      <c r="A83" s="21"/>
      <c r="B83" s="21"/>
      <c r="C83" s="10"/>
      <c r="D83" s="10"/>
      <c r="E83" s="10"/>
      <c r="F83" s="10"/>
    </row>
    <row r="84" spans="1:11" ht="15.75" customHeight="1" x14ac:dyDescent="0.25">
      <c r="A84" s="21"/>
      <c r="B84" s="21"/>
      <c r="D84" s="10"/>
      <c r="E84" s="10"/>
      <c r="G84" s="10"/>
      <c r="H84" s="10"/>
    </row>
    <row r="85" spans="1:11" ht="15.75" customHeight="1" x14ac:dyDescent="0.25">
      <c r="A85" s="10"/>
      <c r="B85" s="27"/>
      <c r="C85" s="27"/>
      <c r="D85" s="27"/>
      <c r="E85" s="27"/>
      <c r="F85" s="11"/>
      <c r="G85" s="10"/>
      <c r="H85" s="10"/>
    </row>
    <row r="86" spans="1:11" ht="15.75" customHeight="1" x14ac:dyDescent="0.25">
      <c r="A86" s="30"/>
      <c r="B86" s="10"/>
      <c r="C86" s="10"/>
      <c r="D86" s="10"/>
      <c r="E86" s="10"/>
      <c r="F86" s="10"/>
      <c r="G86" s="10"/>
      <c r="H86" s="10"/>
      <c r="J86" s="14"/>
    </row>
    <row r="87" spans="1:11" ht="15.75" customHeight="1" x14ac:dyDescent="0.25">
      <c r="A87" s="30"/>
      <c r="B87" s="10"/>
      <c r="C87" s="10"/>
      <c r="D87" s="10"/>
      <c r="E87" s="10"/>
      <c r="F87" s="10"/>
      <c r="H87" s="10"/>
    </row>
    <row r="88" spans="1:11" ht="15.75" customHeight="1" x14ac:dyDescent="0.25">
      <c r="A88" s="30"/>
      <c r="B88" s="10"/>
      <c r="C88" s="10"/>
      <c r="D88" s="10"/>
      <c r="F88" s="31"/>
      <c r="G88" s="10"/>
      <c r="H88" s="10"/>
      <c r="J88" s="14"/>
    </row>
    <row r="89" spans="1:11" ht="15.75" customHeight="1" x14ac:dyDescent="0.25">
      <c r="A89" s="30"/>
      <c r="B89" s="10"/>
      <c r="C89" s="10"/>
      <c r="D89" s="10"/>
      <c r="E89" s="10"/>
      <c r="F89" s="10"/>
      <c r="G89" s="10"/>
      <c r="H89" s="10"/>
    </row>
    <row r="90" spans="1:11" ht="15.75" customHeight="1" x14ac:dyDescent="0.25">
      <c r="A90" s="8"/>
      <c r="B90" s="10"/>
      <c r="C90" s="10"/>
      <c r="D90" s="10"/>
      <c r="E90" s="10"/>
      <c r="F90" s="31"/>
      <c r="G90" s="10"/>
      <c r="H90" s="10"/>
      <c r="I90" s="32"/>
    </row>
    <row r="91" spans="1:11" ht="15.75" customHeight="1" x14ac:dyDescent="0.25">
      <c r="A91" s="8"/>
      <c r="B91" s="10"/>
      <c r="C91" s="10"/>
      <c r="D91" s="10"/>
      <c r="E91" s="10"/>
      <c r="F91" s="10"/>
      <c r="G91" s="10"/>
      <c r="H91" s="10"/>
      <c r="I91" s="32"/>
    </row>
    <row r="92" spans="1:11" ht="15.75" customHeight="1" x14ac:dyDescent="0.25">
      <c r="A92" s="69"/>
      <c r="B92" s="70"/>
      <c r="C92" s="71"/>
      <c r="D92" s="72"/>
      <c r="G92" s="33"/>
      <c r="H92" s="34"/>
      <c r="I92" s="32"/>
    </row>
    <row r="93" spans="1:11" ht="15.75" customHeight="1" x14ac:dyDescent="0.25">
      <c r="B93" s="14"/>
      <c r="C93" s="36"/>
      <c r="D93" s="37"/>
      <c r="G93" s="10"/>
      <c r="H93" s="8"/>
      <c r="K93" s="14"/>
    </row>
    <row r="94" spans="1:11" ht="15.75" customHeight="1" x14ac:dyDescent="0.25">
      <c r="B94" s="14"/>
      <c r="C94" s="38"/>
      <c r="D94" s="39"/>
      <c r="E94" s="22"/>
      <c r="G94" s="10"/>
      <c r="H94" s="8"/>
      <c r="K94" s="14"/>
    </row>
    <row r="95" spans="1:11" ht="15.75" customHeight="1" x14ac:dyDescent="0.25">
      <c r="B95" s="14"/>
      <c r="C95" s="38"/>
      <c r="D95" s="39"/>
      <c r="E95" s="22"/>
      <c r="G95" s="10"/>
      <c r="H95" s="8"/>
      <c r="K95" s="14"/>
    </row>
    <row r="96" spans="1:11" ht="15.75" customHeight="1" x14ac:dyDescent="0.25">
      <c r="B96" s="14"/>
      <c r="C96" s="38"/>
      <c r="D96" s="39"/>
      <c r="E96" s="22"/>
      <c r="G96" s="10"/>
      <c r="H96" s="8"/>
      <c r="K96" s="14"/>
    </row>
    <row r="97" spans="2:11" ht="15.75" customHeight="1" x14ac:dyDescent="0.25">
      <c r="B97" s="14"/>
      <c r="C97" s="38"/>
      <c r="D97" s="39"/>
      <c r="G97" s="10"/>
      <c r="H97" s="8"/>
      <c r="K97" s="14"/>
    </row>
    <row r="98" spans="2:11" ht="15.75" customHeight="1" x14ac:dyDescent="0.25">
      <c r="B98" s="14"/>
      <c r="C98" s="38"/>
      <c r="D98" s="39"/>
      <c r="E98" s="73"/>
      <c r="F98" s="72"/>
      <c r="G98" s="10"/>
      <c r="H98" s="8"/>
      <c r="K98" s="14"/>
    </row>
    <row r="99" spans="2:11" ht="15.75" customHeight="1" x14ac:dyDescent="0.25">
      <c r="B99" s="14"/>
      <c r="C99" s="40"/>
      <c r="D99" s="41"/>
      <c r="E99" s="42"/>
      <c r="F99" s="43"/>
      <c r="G99" s="10"/>
      <c r="H99" s="8"/>
      <c r="K99" s="14"/>
    </row>
    <row r="100" spans="2:11" ht="15.75" customHeight="1" x14ac:dyDescent="0.25">
      <c r="B100" s="14"/>
      <c r="C100" s="44"/>
      <c r="F100" s="27"/>
      <c r="G100" s="10"/>
      <c r="H100" s="8"/>
      <c r="K100" s="14"/>
    </row>
    <row r="101" spans="2:11" ht="15.75" customHeight="1" x14ac:dyDescent="0.25">
      <c r="B101" s="14"/>
      <c r="C101" s="45"/>
      <c r="F101" s="27"/>
      <c r="G101" s="10"/>
      <c r="H101" s="8"/>
      <c r="K101" s="14"/>
    </row>
    <row r="102" spans="2:11" ht="15.75" customHeight="1" x14ac:dyDescent="0.25">
      <c r="B102" s="14"/>
      <c r="C102" s="14"/>
      <c r="F102" s="27"/>
      <c r="G102" s="10"/>
      <c r="H102" s="8"/>
      <c r="K102" s="14"/>
    </row>
    <row r="103" spans="2:11" ht="15.75" customHeight="1" x14ac:dyDescent="0.25">
      <c r="B103" s="14"/>
      <c r="C103" s="46"/>
      <c r="F103" s="27"/>
      <c r="G103" s="10"/>
      <c r="H103" s="8"/>
      <c r="K103" s="14"/>
    </row>
    <row r="104" spans="2:11" ht="15.75" customHeight="1" x14ac:dyDescent="0.25">
      <c r="B104" s="14"/>
      <c r="F104" s="27"/>
      <c r="G104" s="47"/>
      <c r="H104" s="8"/>
      <c r="K104" s="14"/>
    </row>
    <row r="105" spans="2:11" ht="15.75" customHeight="1" x14ac:dyDescent="0.25">
      <c r="B105" s="14"/>
      <c r="F105" s="27"/>
      <c r="G105" s="14"/>
      <c r="H105" s="8"/>
      <c r="K105" s="14"/>
    </row>
    <row r="106" spans="2:11" ht="15.75" customHeight="1" x14ac:dyDescent="0.25">
      <c r="B106" s="14"/>
      <c r="C106" s="33"/>
      <c r="D106" s="32"/>
      <c r="F106" s="27"/>
      <c r="G106" s="33"/>
      <c r="H106" s="8"/>
      <c r="K106" s="14"/>
    </row>
    <row r="107" spans="2:11" ht="15.75" customHeight="1" x14ac:dyDescent="0.25">
      <c r="B107" s="14"/>
      <c r="C107" s="45"/>
      <c r="D107" s="32"/>
      <c r="E107" s="14"/>
      <c r="G107" s="49"/>
      <c r="H107" s="8"/>
      <c r="K107" s="14"/>
    </row>
    <row r="108" spans="2:11" ht="15.75" customHeight="1" x14ac:dyDescent="0.25">
      <c r="B108" s="14"/>
      <c r="C108" s="14"/>
      <c r="D108" s="32"/>
      <c r="E108" s="14"/>
      <c r="F108" s="14"/>
      <c r="G108" s="49"/>
      <c r="H108" s="8"/>
      <c r="K108" s="14"/>
    </row>
    <row r="109" spans="2:11" ht="15.75" customHeight="1" x14ac:dyDescent="0.25">
      <c r="B109" s="46"/>
      <c r="C109" s="14"/>
      <c r="D109" s="32"/>
      <c r="E109" s="14"/>
      <c r="F109" s="14"/>
      <c r="G109" s="49"/>
      <c r="H109" s="8"/>
      <c r="K109" s="14"/>
    </row>
    <row r="110" spans="2:11" ht="15.75" customHeight="1" x14ac:dyDescent="0.25">
      <c r="C110" s="14"/>
      <c r="D110" s="32"/>
      <c r="E110" s="14"/>
      <c r="F110" s="14"/>
      <c r="G110" s="49"/>
      <c r="H110" s="8"/>
      <c r="K110" s="14"/>
    </row>
    <row r="111" spans="2:11" ht="15.75" customHeight="1" x14ac:dyDescent="0.25">
      <c r="C111" s="14"/>
      <c r="D111" s="32"/>
      <c r="E111" s="14"/>
      <c r="F111" s="14"/>
      <c r="G111" s="49"/>
      <c r="H111" s="8"/>
      <c r="K111" s="14"/>
    </row>
    <row r="112" spans="2:11" ht="15.75" customHeight="1" x14ac:dyDescent="0.25">
      <c r="C112" s="14"/>
      <c r="D112" s="32"/>
      <c r="E112" s="14"/>
      <c r="F112" s="14"/>
      <c r="G112" s="49"/>
      <c r="H112" s="8"/>
      <c r="K112" s="14"/>
    </row>
    <row r="113" spans="2:11" ht="15.75" customHeight="1" x14ac:dyDescent="0.25">
      <c r="C113" s="14"/>
      <c r="D113" s="32"/>
      <c r="E113" s="14"/>
      <c r="F113" s="14"/>
      <c r="G113" s="49"/>
      <c r="H113" s="8"/>
      <c r="K113" s="14"/>
    </row>
    <row r="114" spans="2:11" ht="15.75" customHeight="1" x14ac:dyDescent="0.25">
      <c r="C114" s="14"/>
      <c r="D114" s="32"/>
      <c r="E114" s="14"/>
      <c r="F114" s="14"/>
      <c r="G114" s="49"/>
      <c r="H114" s="8"/>
      <c r="K114" s="14"/>
    </row>
    <row r="115" spans="2:11" ht="15.75" customHeight="1" x14ac:dyDescent="0.25">
      <c r="C115" s="14"/>
      <c r="D115" s="32"/>
      <c r="E115" s="14"/>
      <c r="F115" s="14"/>
      <c r="G115" s="49"/>
      <c r="H115" s="8"/>
      <c r="K115" s="14"/>
    </row>
    <row r="116" spans="2:11" ht="15.75" customHeight="1" x14ac:dyDescent="0.25">
      <c r="C116" s="14"/>
      <c r="D116" s="32"/>
      <c r="E116" s="14"/>
      <c r="F116" s="14"/>
      <c r="G116" s="49"/>
      <c r="H116" s="8"/>
      <c r="K116" s="14"/>
    </row>
    <row r="117" spans="2:11" ht="15.75" customHeight="1" x14ac:dyDescent="0.25">
      <c r="C117" s="14"/>
      <c r="D117" s="32"/>
      <c r="E117" s="14"/>
      <c r="F117" s="14"/>
      <c r="G117" s="49"/>
      <c r="H117" s="8"/>
      <c r="K117" s="14"/>
    </row>
    <row r="118" spans="2:11" ht="15.75" customHeight="1" x14ac:dyDescent="0.25">
      <c r="B118" s="22"/>
      <c r="C118" s="14"/>
      <c r="D118" s="32"/>
      <c r="E118" s="14"/>
      <c r="F118" s="14"/>
      <c r="G118" s="49"/>
      <c r="H118" s="8"/>
      <c r="K118" s="14"/>
    </row>
    <row r="119" spans="2:11" ht="15.75" customHeight="1" x14ac:dyDescent="0.25">
      <c r="C119" s="14"/>
      <c r="D119" s="32"/>
      <c r="E119" s="14"/>
      <c r="F119" s="14"/>
      <c r="G119" s="49"/>
      <c r="H119" s="8"/>
      <c r="K119" s="14"/>
    </row>
    <row r="120" spans="2:11" ht="15.75" customHeight="1" x14ac:dyDescent="0.25">
      <c r="C120" s="14"/>
      <c r="D120" s="32"/>
      <c r="E120" s="14"/>
      <c r="F120" s="14"/>
      <c r="G120" s="49"/>
      <c r="H120" s="8"/>
      <c r="K120" s="14"/>
    </row>
    <row r="121" spans="2:11" ht="15.75" customHeight="1" x14ac:dyDescent="0.25">
      <c r="C121" s="14"/>
      <c r="D121" s="32"/>
      <c r="E121" s="14"/>
      <c r="F121" s="14"/>
      <c r="G121" s="49"/>
      <c r="H121" s="8"/>
      <c r="K121" s="14"/>
    </row>
    <row r="122" spans="2:11" ht="15.75" customHeight="1" x14ac:dyDescent="0.25">
      <c r="B122" s="14"/>
      <c r="C122" s="14"/>
      <c r="D122" s="32"/>
      <c r="E122" s="14"/>
      <c r="F122" s="14"/>
      <c r="G122" s="49"/>
      <c r="H122" s="8"/>
      <c r="K122" s="14"/>
    </row>
    <row r="123" spans="2:11" ht="15.75" customHeight="1" x14ac:dyDescent="0.25">
      <c r="B123" s="14"/>
      <c r="C123" s="14"/>
      <c r="D123" s="32"/>
      <c r="E123" s="14"/>
      <c r="F123" s="14"/>
      <c r="G123" s="49"/>
      <c r="H123" s="8"/>
      <c r="K123" s="14"/>
    </row>
    <row r="124" spans="2:11" ht="15.75" customHeight="1" x14ac:dyDescent="0.25">
      <c r="B124" s="14"/>
      <c r="C124" s="14"/>
      <c r="D124" s="32"/>
      <c r="E124" s="14"/>
      <c r="F124" s="14"/>
      <c r="G124" s="49"/>
      <c r="H124" s="8"/>
      <c r="K124" s="14"/>
    </row>
    <row r="125" spans="2:11" ht="15.75" customHeight="1" x14ac:dyDescent="0.25">
      <c r="B125" s="14"/>
      <c r="C125" s="22"/>
      <c r="H125" s="8"/>
    </row>
    <row r="126" spans="2:11" ht="15.75" customHeight="1" x14ac:dyDescent="0.25">
      <c r="B126" s="14"/>
      <c r="E126" s="14"/>
    </row>
    <row r="127" spans="2:11" ht="15.75" customHeight="1" x14ac:dyDescent="0.25">
      <c r="B127" s="14"/>
    </row>
    <row r="128" spans="2:11" ht="15.75" customHeight="1" x14ac:dyDescent="0.25">
      <c r="B128" s="14"/>
      <c r="E128" s="14"/>
    </row>
    <row r="129" spans="1:3" ht="15.75" customHeight="1" x14ac:dyDescent="0.25">
      <c r="B129" s="14"/>
    </row>
    <row r="130" spans="1:3" ht="15.75" customHeight="1" x14ac:dyDescent="0.25">
      <c r="B130" s="14"/>
    </row>
    <row r="131" spans="1:3" ht="15.75" customHeight="1" x14ac:dyDescent="0.25">
      <c r="B131" s="14"/>
      <c r="C131" s="22"/>
    </row>
    <row r="132" spans="1:3" ht="15.75" customHeight="1" x14ac:dyDescent="0.25">
      <c r="B132" s="14"/>
    </row>
    <row r="133" spans="1:3" ht="15.75" customHeight="1" x14ac:dyDescent="0.25">
      <c r="B133" s="14"/>
    </row>
    <row r="134" spans="1:3" ht="15.75" customHeight="1" x14ac:dyDescent="0.25">
      <c r="B134" s="14"/>
    </row>
    <row r="135" spans="1:3" ht="15.75" customHeight="1" x14ac:dyDescent="0.25">
      <c r="B135" s="14"/>
    </row>
    <row r="136" spans="1:3" ht="15.75" customHeight="1" x14ac:dyDescent="0.25">
      <c r="A136" s="22"/>
      <c r="B136" s="14"/>
    </row>
    <row r="137" spans="1:3" ht="15.75" customHeight="1" x14ac:dyDescent="0.25">
      <c r="A137" s="22"/>
      <c r="B137" s="14"/>
    </row>
    <row r="138" spans="1:3" ht="15.75" customHeight="1" x14ac:dyDescent="0.25">
      <c r="A138" s="51"/>
      <c r="B138" s="14"/>
    </row>
    <row r="139" spans="1:3" ht="15.75" customHeight="1" x14ac:dyDescent="0.25">
      <c r="A139" s="51"/>
      <c r="B139" s="14"/>
    </row>
    <row r="140" spans="1:3" ht="15.75" customHeight="1" x14ac:dyDescent="0.25">
      <c r="A140" s="51"/>
      <c r="B140" s="14"/>
    </row>
    <row r="141" spans="1:3" ht="15.75" customHeight="1" x14ac:dyDescent="0.25">
      <c r="A141" s="51"/>
      <c r="B141" s="14"/>
    </row>
    <row r="142" spans="1:3" ht="15.75" customHeight="1" x14ac:dyDescent="0.25">
      <c r="A142" s="51"/>
      <c r="B142" s="14"/>
    </row>
    <row r="143" spans="1:3" ht="15.75" customHeight="1" x14ac:dyDescent="0.25">
      <c r="A143" s="51"/>
      <c r="B143" s="14"/>
    </row>
    <row r="144" spans="1:3" ht="15.75" customHeight="1" x14ac:dyDescent="0.25">
      <c r="A144" s="51"/>
      <c r="B144" s="14"/>
    </row>
    <row r="145" spans="1:2" ht="15.75" customHeight="1" x14ac:dyDescent="0.25">
      <c r="A145" s="51"/>
      <c r="B145" s="14"/>
    </row>
    <row r="146" spans="1:2" ht="15.75" customHeight="1" x14ac:dyDescent="0.25">
      <c r="A146" s="51"/>
      <c r="B146" s="14"/>
    </row>
    <row r="147" spans="1:2" ht="15.75" customHeight="1" x14ac:dyDescent="0.25">
      <c r="A147" s="51"/>
      <c r="B147" s="14"/>
    </row>
    <row r="148" spans="1:2" ht="15.75" customHeight="1" x14ac:dyDescent="0.25">
      <c r="A148" s="51"/>
      <c r="B148" s="14"/>
    </row>
    <row r="149" spans="1:2" ht="15.75" customHeight="1" x14ac:dyDescent="0.25">
      <c r="A149" s="51"/>
      <c r="B149" s="14"/>
    </row>
    <row r="150" spans="1:2" ht="15.75" customHeight="1" x14ac:dyDescent="0.25">
      <c r="A150" s="51"/>
    </row>
    <row r="151" spans="1:2" ht="15.75" customHeight="1" x14ac:dyDescent="0.25">
      <c r="A151" s="51"/>
      <c r="B151" s="14"/>
    </row>
    <row r="152" spans="1:2" ht="15.75" customHeight="1" x14ac:dyDescent="0.25">
      <c r="A152" s="51"/>
    </row>
    <row r="153" spans="1:2" ht="15.75" customHeight="1" x14ac:dyDescent="0.25">
      <c r="A153" s="51"/>
    </row>
    <row r="154" spans="1:2" ht="15.75" customHeight="1" x14ac:dyDescent="0.25"/>
    <row r="155" spans="1:2" ht="15.75" customHeight="1" x14ac:dyDescent="0.25"/>
    <row r="156" spans="1:2" ht="15.75" customHeight="1" x14ac:dyDescent="0.25"/>
    <row r="157" spans="1:2" ht="15.75" customHeight="1" x14ac:dyDescent="0.25"/>
    <row r="158" spans="1:2" ht="15.75" customHeight="1" x14ac:dyDescent="0.25"/>
    <row r="159" spans="1:2" ht="15.75" customHeight="1" x14ac:dyDescent="0.25"/>
    <row r="160" spans="1:2" ht="15.75" customHeight="1" x14ac:dyDescent="0.25"/>
    <row r="161" spans="1:1" ht="15.75" customHeight="1" x14ac:dyDescent="0.25"/>
    <row r="162" spans="1:1" ht="15.75" customHeight="1" x14ac:dyDescent="0.25"/>
    <row r="163" spans="1:1" ht="15.75" customHeight="1" x14ac:dyDescent="0.25"/>
    <row r="164" spans="1:1" ht="15.75" customHeight="1" x14ac:dyDescent="0.25"/>
    <row r="165" spans="1:1" ht="15.75" customHeight="1" x14ac:dyDescent="0.25"/>
    <row r="166" spans="1:1" ht="15.75" customHeight="1" x14ac:dyDescent="0.25"/>
    <row r="167" spans="1:1" ht="15.75" customHeight="1" x14ac:dyDescent="0.25">
      <c r="A167" s="51"/>
    </row>
    <row r="168" spans="1:1" ht="15.75" customHeight="1" x14ac:dyDescent="0.25"/>
    <row r="169" spans="1:1" ht="15.75" customHeight="1" x14ac:dyDescent="0.25"/>
    <row r="170" spans="1:1" ht="15.75" customHeight="1" x14ac:dyDescent="0.25"/>
    <row r="171" spans="1:1" ht="15.75" customHeight="1" x14ac:dyDescent="0.25"/>
    <row r="172" spans="1:1" ht="15.75" customHeight="1" x14ac:dyDescent="0.25"/>
    <row r="173" spans="1:1" ht="15.75" customHeight="1" x14ac:dyDescent="0.25"/>
    <row r="174" spans="1:1" ht="15.75" customHeight="1" x14ac:dyDescent="0.25"/>
    <row r="175" spans="1:1" ht="15.75" customHeight="1" x14ac:dyDescent="0.25"/>
    <row r="176" spans="1:1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1:A12"/>
    <mergeCell ref="A92:B92"/>
    <mergeCell ref="C92:D92"/>
    <mergeCell ref="E98:F98"/>
  </mergeCells>
  <printOptions gridLines="1"/>
  <pageMargins left="0.7" right="0.7" top="0.75" bottom="0.75" header="0" footer="0"/>
  <pageSetup orientation="landscape"/>
  <rowBreaks count="2" manualBreakCount="2">
    <brk id="38" man="1"/>
    <brk id="7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1000"/>
  <sheetViews>
    <sheetView workbookViewId="0"/>
  </sheetViews>
  <sheetFormatPr defaultColWidth="14.42578125" defaultRowHeight="15" customHeight="1" x14ac:dyDescent="0.25"/>
  <cols>
    <col min="1" max="1" width="10.85546875" customWidth="1"/>
    <col min="2" max="3" width="12.5703125" customWidth="1"/>
    <col min="4" max="7" width="11.28515625" customWidth="1"/>
    <col min="8" max="8" width="10.7109375" customWidth="1"/>
    <col min="9" max="9" width="10.42578125" customWidth="1"/>
    <col min="10" max="26" width="8.7109375" customWidth="1"/>
  </cols>
  <sheetData>
    <row r="1" spans="1:17" x14ac:dyDescent="0.25">
      <c r="B1" s="17" t="s">
        <v>159</v>
      </c>
      <c r="C1" s="17"/>
      <c r="D1" s="17" t="s">
        <v>137</v>
      </c>
      <c r="E1" s="17"/>
      <c r="F1" s="17" t="s">
        <v>138</v>
      </c>
      <c r="G1" s="17"/>
      <c r="H1" s="17" t="s">
        <v>139</v>
      </c>
      <c r="I1" s="17"/>
      <c r="J1" s="17" t="s">
        <v>160</v>
      </c>
      <c r="K1" s="17"/>
      <c r="L1" s="17" t="s">
        <v>60</v>
      </c>
      <c r="M1" s="17"/>
      <c r="N1" s="17" t="s">
        <v>161</v>
      </c>
      <c r="O1" s="17"/>
      <c r="P1" s="17" t="s">
        <v>162</v>
      </c>
      <c r="Q1" s="17"/>
    </row>
    <row r="2" spans="1:17" x14ac:dyDescent="0.25">
      <c r="A2" s="66" t="s">
        <v>163</v>
      </c>
      <c r="B2" s="9">
        <f t="shared" ref="B2:B14" si="0">D2+F2+H2+J2+L2+N2+P2</f>
        <v>0</v>
      </c>
      <c r="C2" s="9"/>
      <c r="D2" s="9">
        <f>'May 2025'!$C$32</f>
        <v>0</v>
      </c>
      <c r="E2" s="9"/>
      <c r="F2" s="9">
        <f>'May 2025'!$D$32</f>
        <v>0</v>
      </c>
      <c r="G2" s="9"/>
      <c r="H2" s="9">
        <f>'May 2025'!$E$32</f>
        <v>0</v>
      </c>
      <c r="I2" s="9"/>
      <c r="J2" s="9">
        <f>'May 2025'!$F$32</f>
        <v>0</v>
      </c>
      <c r="K2" s="9"/>
      <c r="L2" s="9">
        <f>'May 2025'!$G$32</f>
        <v>0</v>
      </c>
      <c r="M2" s="9"/>
      <c r="N2" s="9">
        <f>'May 2025'!$H$32</f>
        <v>0</v>
      </c>
      <c r="P2" s="9">
        <f>'May 2025'!$I$32</f>
        <v>0</v>
      </c>
    </row>
    <row r="3" spans="1:17" x14ac:dyDescent="0.25">
      <c r="A3" s="66" t="s">
        <v>164</v>
      </c>
      <c r="B3" s="9">
        <f t="shared" si="0"/>
        <v>1975039.97</v>
      </c>
      <c r="C3" s="9">
        <f t="shared" ref="C3:C14" si="1">B3-B2</f>
        <v>1975039.97</v>
      </c>
      <c r="D3" s="9">
        <f>'June 2025'!$C$32</f>
        <v>514875.90000000008</v>
      </c>
      <c r="E3" s="9">
        <f t="shared" ref="E3:E14" si="2">D3-D2</f>
        <v>514875.90000000008</v>
      </c>
      <c r="F3" s="9">
        <f>'June 2025'!$D$32</f>
        <v>742908.86999999988</v>
      </c>
      <c r="G3" s="9">
        <f t="shared" ref="G3:G14" si="3">F3-F2</f>
        <v>742908.86999999988</v>
      </c>
      <c r="H3" s="9">
        <f>'June 2025'!$E$32</f>
        <v>706242.21</v>
      </c>
      <c r="I3" s="9">
        <f t="shared" ref="I3:I14" si="4">H3-H2</f>
        <v>706242.21</v>
      </c>
      <c r="J3" s="9">
        <f>'June 2025'!$F$32</f>
        <v>16918.440000000013</v>
      </c>
      <c r="K3" s="9">
        <f t="shared" ref="K3:K14" si="5">J3-J2</f>
        <v>16918.440000000013</v>
      </c>
      <c r="L3" s="9">
        <f>'June 2025'!$G$32</f>
        <v>-5288.25</v>
      </c>
      <c r="M3" s="9">
        <f t="shared" ref="M3:M14" si="6">L3-L2</f>
        <v>-5288.25</v>
      </c>
      <c r="N3" s="9">
        <f>'June 2025'!$H$32</f>
        <v>0</v>
      </c>
      <c r="O3" s="9">
        <f t="shared" ref="O3:O14" si="7">N3-N2</f>
        <v>0</v>
      </c>
      <c r="P3" s="9">
        <f>'June 2025'!$I$32</f>
        <v>-617.19999999999709</v>
      </c>
      <c r="Q3" s="9">
        <f t="shared" ref="Q3:Q14" si="8">P3-P2</f>
        <v>-617.19999999999709</v>
      </c>
    </row>
    <row r="4" spans="1:17" x14ac:dyDescent="0.25">
      <c r="A4" s="66" t="s">
        <v>165</v>
      </c>
      <c r="B4" s="9" t="e">
        <f t="shared" si="0"/>
        <v>#VALUE!</v>
      </c>
      <c r="C4" s="9" t="e">
        <f t="shared" si="1"/>
        <v>#VALUE!</v>
      </c>
      <c r="D4" s="9" t="str">
        <f>'July 2025'!$C$36</f>
        <v>A</v>
      </c>
      <c r="E4" s="9" t="e">
        <f t="shared" si="2"/>
        <v>#VALUE!</v>
      </c>
      <c r="F4" s="9" t="str">
        <f>'July 2025'!$D$36</f>
        <v>B</v>
      </c>
      <c r="G4" s="9" t="e">
        <f t="shared" si="3"/>
        <v>#VALUE!</v>
      </c>
      <c r="H4" s="9" t="str">
        <f>'July 2025'!$E$36</f>
        <v>DA</v>
      </c>
      <c r="I4" s="9" t="e">
        <f t="shared" si="4"/>
        <v>#VALUE!</v>
      </c>
      <c r="J4" s="9" t="str">
        <f>'July 2025'!$F$36</f>
        <v>DB</v>
      </c>
      <c r="K4" s="9" t="e">
        <f t="shared" si="5"/>
        <v>#VALUE!</v>
      </c>
      <c r="L4" s="9" t="str">
        <f>'July 2025'!$G$36</f>
        <v>H-6</v>
      </c>
      <c r="M4" s="9" t="e">
        <f t="shared" si="6"/>
        <v>#VALUE!</v>
      </c>
      <c r="N4" s="9" t="str">
        <f>'July 2025'!$H$36</f>
        <v>H-1</v>
      </c>
      <c r="O4" s="9" t="e">
        <f t="shared" si="7"/>
        <v>#VALUE!</v>
      </c>
      <c r="P4" s="9" t="str">
        <f>'July 2025'!$I$36</f>
        <v>SM</v>
      </c>
      <c r="Q4" s="9" t="e">
        <f t="shared" si="8"/>
        <v>#VALUE!</v>
      </c>
    </row>
    <row r="5" spans="1:17" x14ac:dyDescent="0.25">
      <c r="A5" s="66" t="s">
        <v>166</v>
      </c>
      <c r="B5" s="9">
        <f t="shared" si="0"/>
        <v>25494.729999999854</v>
      </c>
      <c r="C5" s="9" t="e">
        <f t="shared" si="1"/>
        <v>#VALUE!</v>
      </c>
      <c r="D5" s="9">
        <f>'August 2025'!$C$34</f>
        <v>14218.239999999874</v>
      </c>
      <c r="E5" s="9" t="e">
        <f t="shared" si="2"/>
        <v>#VALUE!</v>
      </c>
      <c r="F5" s="9">
        <f>'August 2025'!$D$34</f>
        <v>1232.2699999999022</v>
      </c>
      <c r="G5" s="9" t="e">
        <f t="shared" si="3"/>
        <v>#VALUE!</v>
      </c>
      <c r="H5" s="9">
        <f>'August 2025'!$E$34</f>
        <v>906.22000000008848</v>
      </c>
      <c r="I5" s="9" t="e">
        <f t="shared" si="4"/>
        <v>#VALUE!</v>
      </c>
      <c r="J5" s="9">
        <f>'August 2025'!$F$34</f>
        <v>9137.9899999999907</v>
      </c>
      <c r="K5" s="9" t="e">
        <f t="shared" si="5"/>
        <v>#VALUE!</v>
      </c>
      <c r="L5" s="9">
        <f>'August 2025'!$G$34</f>
        <v>0</v>
      </c>
      <c r="M5" s="9" t="e">
        <f t="shared" si="6"/>
        <v>#VALUE!</v>
      </c>
      <c r="N5" s="9">
        <f>'August 2025'!$H$34</f>
        <v>0</v>
      </c>
      <c r="O5" s="9" t="e">
        <f t="shared" si="7"/>
        <v>#VALUE!</v>
      </c>
      <c r="P5" s="9">
        <f>'August 2025'!$I$34</f>
        <v>9.9999999970350473E-3</v>
      </c>
      <c r="Q5" s="9" t="e">
        <f t="shared" si="8"/>
        <v>#VALUE!</v>
      </c>
    </row>
    <row r="6" spans="1:17" x14ac:dyDescent="0.25">
      <c r="A6" s="66" t="s">
        <v>167</v>
      </c>
      <c r="B6" s="9">
        <f t="shared" si="0"/>
        <v>25494.73</v>
      </c>
      <c r="C6" s="9">
        <f t="shared" si="1"/>
        <v>1.4551915228366852E-10</v>
      </c>
      <c r="D6" s="9">
        <f>'September 2025'!$C$34</f>
        <v>14218.239999999932</v>
      </c>
      <c r="E6" s="9">
        <f t="shared" si="2"/>
        <v>5.8207660913467407E-11</v>
      </c>
      <c r="F6" s="9">
        <f>'September 2025'!$D$34</f>
        <v>1232.2699999997858</v>
      </c>
      <c r="G6" s="9">
        <f t="shared" si="3"/>
        <v>-1.1641532182693481E-10</v>
      </c>
      <c r="H6" s="9">
        <f>'September 2025'!$E$34</f>
        <v>906.22000000032131</v>
      </c>
      <c r="I6" s="9">
        <f t="shared" si="4"/>
        <v>2.3283064365386963E-10</v>
      </c>
      <c r="J6" s="9">
        <f>'September 2025'!$F$34</f>
        <v>9137.9899999999616</v>
      </c>
      <c r="K6" s="9">
        <f t="shared" si="5"/>
        <v>-2.9103830456733704E-11</v>
      </c>
      <c r="L6" s="9">
        <f>'September 2025'!$G$34</f>
        <v>0</v>
      </c>
      <c r="M6" s="9">
        <f t="shared" si="6"/>
        <v>0</v>
      </c>
      <c r="N6" s="9">
        <f>'September 2025'!$H$34</f>
        <v>0</v>
      </c>
      <c r="O6" s="9">
        <f t="shared" si="7"/>
        <v>0</v>
      </c>
      <c r="P6" s="9">
        <f>'September 2025'!$I$34</f>
        <v>9.9999999970350473E-3</v>
      </c>
      <c r="Q6" s="9">
        <f t="shared" si="8"/>
        <v>0</v>
      </c>
    </row>
    <row r="7" spans="1:17" x14ac:dyDescent="0.25">
      <c r="A7" s="66" t="s">
        <v>168</v>
      </c>
      <c r="B7" s="9">
        <f t="shared" si="0"/>
        <v>25494.729999999796</v>
      </c>
      <c r="C7" s="9">
        <f t="shared" si="1"/>
        <v>-2.0372681319713593E-10</v>
      </c>
      <c r="D7" s="9">
        <f>'October 2025'!$C$34</f>
        <v>14218.239999999874</v>
      </c>
      <c r="E7" s="9">
        <f t="shared" si="2"/>
        <v>-5.8207660913467407E-11</v>
      </c>
      <c r="F7" s="9">
        <f>'October 2025'!$D$34</f>
        <v>1232.2699999997858</v>
      </c>
      <c r="G7" s="9">
        <f t="shared" si="3"/>
        <v>0</v>
      </c>
      <c r="H7" s="9">
        <f>'October 2025'!$E$34</f>
        <v>906.22000000020489</v>
      </c>
      <c r="I7" s="9">
        <f t="shared" si="4"/>
        <v>-1.1641532182693481E-10</v>
      </c>
      <c r="J7" s="9">
        <f>'October 2025'!$F$34</f>
        <v>9137.9899999999325</v>
      </c>
      <c r="K7" s="9">
        <f t="shared" si="5"/>
        <v>-2.9103830456733704E-11</v>
      </c>
      <c r="L7" s="9">
        <f>'October 2025'!$G$34</f>
        <v>0</v>
      </c>
      <c r="M7" s="9">
        <f t="shared" si="6"/>
        <v>0</v>
      </c>
      <c r="N7" s="9">
        <f>'October 2025'!$H$34</f>
        <v>0</v>
      </c>
      <c r="O7" s="9">
        <f t="shared" si="7"/>
        <v>0</v>
      </c>
      <c r="P7" s="9">
        <f>'October 2025'!$I$34</f>
        <v>9.9999999970350473E-3</v>
      </c>
      <c r="Q7" s="9">
        <f t="shared" si="8"/>
        <v>0</v>
      </c>
    </row>
    <row r="8" spans="1:17" x14ac:dyDescent="0.25">
      <c r="A8" s="66" t="s">
        <v>169</v>
      </c>
      <c r="B8" s="9">
        <f t="shared" si="0"/>
        <v>0</v>
      </c>
      <c r="C8" s="9">
        <f t="shared" si="1"/>
        <v>-25494.729999999796</v>
      </c>
      <c r="D8" s="9">
        <f>'November 2025'!$C$34</f>
        <v>0</v>
      </c>
      <c r="E8" s="9">
        <f t="shared" si="2"/>
        <v>-14218.239999999874</v>
      </c>
      <c r="F8" s="9">
        <f>'November 2025'!$D$34</f>
        <v>0</v>
      </c>
      <c r="G8" s="9">
        <f t="shared" si="3"/>
        <v>-1232.2699999997858</v>
      </c>
      <c r="H8" s="9">
        <f>'November 2025'!$E$34</f>
        <v>0</v>
      </c>
      <c r="I8" s="9">
        <f t="shared" si="4"/>
        <v>-906.22000000020489</v>
      </c>
      <c r="J8" s="9">
        <f>'November 2025'!$F$34</f>
        <v>0</v>
      </c>
      <c r="K8" s="9">
        <f t="shared" si="5"/>
        <v>-9137.9899999999325</v>
      </c>
      <c r="L8" s="9">
        <f>'November 2025'!$G$34</f>
        <v>0</v>
      </c>
      <c r="M8" s="9">
        <f t="shared" si="6"/>
        <v>0</v>
      </c>
      <c r="N8" s="9">
        <f>'November 2025'!$H$34</f>
        <v>0</v>
      </c>
      <c r="O8" s="9">
        <f t="shared" si="7"/>
        <v>0</v>
      </c>
      <c r="P8" s="9">
        <f>'November 2025'!$I$34</f>
        <v>0</v>
      </c>
      <c r="Q8" s="9">
        <f t="shared" si="8"/>
        <v>-9.9999999970350473E-3</v>
      </c>
    </row>
    <row r="9" spans="1:17" x14ac:dyDescent="0.25">
      <c r="A9" s="66" t="s">
        <v>170</v>
      </c>
      <c r="B9" s="9">
        <f t="shared" si="0"/>
        <v>0</v>
      </c>
      <c r="C9" s="9">
        <f t="shared" si="1"/>
        <v>0</v>
      </c>
      <c r="D9" s="9">
        <f>'December 2025'!$C$34</f>
        <v>0</v>
      </c>
      <c r="E9" s="9">
        <f t="shared" si="2"/>
        <v>0</v>
      </c>
      <c r="F9" s="9">
        <f>'December 2025'!$D$34</f>
        <v>0</v>
      </c>
      <c r="G9" s="9">
        <f t="shared" si="3"/>
        <v>0</v>
      </c>
      <c r="H9" s="9">
        <f>'December 2025'!$E$34</f>
        <v>0</v>
      </c>
      <c r="I9" s="9">
        <f t="shared" si="4"/>
        <v>0</v>
      </c>
      <c r="J9" s="9">
        <f>'December 2025'!$F$34</f>
        <v>0</v>
      </c>
      <c r="K9" s="9">
        <f t="shared" si="5"/>
        <v>0</v>
      </c>
      <c r="L9" s="9">
        <f>'December 2025'!$G$32</f>
        <v>0</v>
      </c>
      <c r="M9" s="9">
        <f t="shared" si="6"/>
        <v>0</v>
      </c>
      <c r="N9" s="9">
        <f>'December 2025'!$H$34</f>
        <v>0</v>
      </c>
      <c r="O9" s="9">
        <f t="shared" si="7"/>
        <v>0</v>
      </c>
      <c r="P9" s="9">
        <f>'December 2025'!$I$34</f>
        <v>0</v>
      </c>
      <c r="Q9" s="9">
        <f t="shared" si="8"/>
        <v>0</v>
      </c>
    </row>
    <row r="10" spans="1:17" x14ac:dyDescent="0.25">
      <c r="A10" s="66" t="s">
        <v>171</v>
      </c>
      <c r="B10" s="9">
        <f t="shared" si="0"/>
        <v>0</v>
      </c>
      <c r="C10" s="9">
        <f t="shared" si="1"/>
        <v>0</v>
      </c>
      <c r="D10" s="9">
        <f>'January 2025'!$C$35</f>
        <v>0</v>
      </c>
      <c r="E10" s="9">
        <f t="shared" si="2"/>
        <v>0</v>
      </c>
      <c r="F10" s="9">
        <f>'January 2025'!$D$35</f>
        <v>0</v>
      </c>
      <c r="G10" s="9">
        <f t="shared" si="3"/>
        <v>0</v>
      </c>
      <c r="H10" s="9">
        <f>'January 2025'!$E$35</f>
        <v>0</v>
      </c>
      <c r="I10" s="9">
        <f t="shared" si="4"/>
        <v>0</v>
      </c>
      <c r="J10" s="9">
        <f>'January 2025'!$F$35</f>
        <v>0</v>
      </c>
      <c r="K10" s="9">
        <f t="shared" si="5"/>
        <v>0</v>
      </c>
      <c r="L10" s="9">
        <f>'January 2025'!$G$35</f>
        <v>0</v>
      </c>
      <c r="M10" s="9">
        <f t="shared" si="6"/>
        <v>0</v>
      </c>
      <c r="N10" s="9">
        <f>'January 2025'!$I$35</f>
        <v>0</v>
      </c>
      <c r="O10" s="9">
        <f t="shared" si="7"/>
        <v>0</v>
      </c>
      <c r="P10" s="9">
        <f>'January 2025'!$N$35</f>
        <v>0</v>
      </c>
      <c r="Q10" s="9">
        <f t="shared" si="8"/>
        <v>0</v>
      </c>
    </row>
    <row r="11" spans="1:17" x14ac:dyDescent="0.25">
      <c r="A11" s="66" t="s">
        <v>172</v>
      </c>
      <c r="B11" s="9">
        <f t="shared" si="0"/>
        <v>0</v>
      </c>
      <c r="C11" s="9">
        <f t="shared" si="1"/>
        <v>0</v>
      </c>
      <c r="D11" s="9">
        <f>'February 2025'!$C$32</f>
        <v>0</v>
      </c>
      <c r="E11" s="9">
        <f t="shared" si="2"/>
        <v>0</v>
      </c>
      <c r="F11" s="9">
        <f>'February 2025'!$D$32</f>
        <v>0</v>
      </c>
      <c r="G11" s="9">
        <f t="shared" si="3"/>
        <v>0</v>
      </c>
      <c r="H11" s="9">
        <f>'February 2025'!$E$32</f>
        <v>0</v>
      </c>
      <c r="I11" s="9">
        <f t="shared" si="4"/>
        <v>0</v>
      </c>
      <c r="J11" s="9">
        <f>'February 2025'!$F$32</f>
        <v>0</v>
      </c>
      <c r="K11" s="9">
        <f t="shared" si="5"/>
        <v>0</v>
      </c>
      <c r="L11" s="9">
        <f>'February 2025'!$G$32</f>
        <v>0</v>
      </c>
      <c r="M11" s="9">
        <f t="shared" si="6"/>
        <v>0</v>
      </c>
      <c r="N11" s="9">
        <f>'February 2025'!$H$32</f>
        <v>0</v>
      </c>
      <c r="O11" s="9">
        <f t="shared" si="7"/>
        <v>0</v>
      </c>
      <c r="P11" s="9">
        <f>'February 2025'!$I$32</f>
        <v>0</v>
      </c>
      <c r="Q11" s="9">
        <f t="shared" si="8"/>
        <v>0</v>
      </c>
    </row>
    <row r="12" spans="1:17" x14ac:dyDescent="0.25">
      <c r="A12" s="66" t="s">
        <v>173</v>
      </c>
      <c r="B12" s="9">
        <f t="shared" si="0"/>
        <v>0</v>
      </c>
      <c r="C12" s="9">
        <f t="shared" si="1"/>
        <v>0</v>
      </c>
      <c r="D12" s="9">
        <f>'March 2025'!$C$32</f>
        <v>0</v>
      </c>
      <c r="E12" s="9">
        <f t="shared" si="2"/>
        <v>0</v>
      </c>
      <c r="F12" s="9">
        <f>'March 2025'!$D$32</f>
        <v>0</v>
      </c>
      <c r="G12" s="9">
        <f t="shared" si="3"/>
        <v>0</v>
      </c>
      <c r="H12" s="9">
        <f>'March 2025'!$E$32</f>
        <v>0</v>
      </c>
      <c r="I12" s="9">
        <f t="shared" si="4"/>
        <v>0</v>
      </c>
      <c r="J12" s="9">
        <f>'March 2025'!$F$32</f>
        <v>0</v>
      </c>
      <c r="K12" s="9">
        <f t="shared" si="5"/>
        <v>0</v>
      </c>
      <c r="L12" s="9">
        <f>'March 2025'!$G$32</f>
        <v>0</v>
      </c>
      <c r="M12" s="9">
        <f t="shared" si="6"/>
        <v>0</v>
      </c>
      <c r="N12" s="9">
        <f>'March 2025'!$H$32</f>
        <v>0</v>
      </c>
      <c r="O12" s="9">
        <f t="shared" si="7"/>
        <v>0</v>
      </c>
      <c r="P12" s="9">
        <f>'March 2025'!$I$32</f>
        <v>0</v>
      </c>
      <c r="Q12" s="9">
        <f t="shared" si="8"/>
        <v>0</v>
      </c>
    </row>
    <row r="13" spans="1:17" x14ac:dyDescent="0.25">
      <c r="A13" s="66" t="s">
        <v>174</v>
      </c>
      <c r="B13" s="9">
        <f t="shared" si="0"/>
        <v>0</v>
      </c>
      <c r="C13" s="9">
        <f t="shared" si="1"/>
        <v>0</v>
      </c>
      <c r="D13" s="9">
        <f>'April 2025'!$C$32</f>
        <v>0</v>
      </c>
      <c r="E13" s="9">
        <f t="shared" si="2"/>
        <v>0</v>
      </c>
      <c r="F13" s="9">
        <f>'April 2025'!$D$32</f>
        <v>0</v>
      </c>
      <c r="G13" s="9">
        <f t="shared" si="3"/>
        <v>0</v>
      </c>
      <c r="H13" s="9">
        <f>'April 2025'!$E$32</f>
        <v>0</v>
      </c>
      <c r="I13" s="9">
        <f t="shared" si="4"/>
        <v>0</v>
      </c>
      <c r="J13" s="9">
        <f>'April 2025'!$F$32</f>
        <v>0</v>
      </c>
      <c r="K13" s="9">
        <f t="shared" si="5"/>
        <v>0</v>
      </c>
      <c r="L13" s="9">
        <f>'April 2025'!$G$32</f>
        <v>0</v>
      </c>
      <c r="M13" s="9">
        <f t="shared" si="6"/>
        <v>0</v>
      </c>
      <c r="N13" s="9">
        <f>'April 2025'!$H$32</f>
        <v>0</v>
      </c>
      <c r="O13" s="9">
        <f t="shared" si="7"/>
        <v>0</v>
      </c>
      <c r="P13" s="9">
        <f>'April 2025'!$I$32</f>
        <v>0</v>
      </c>
      <c r="Q13" s="9">
        <f t="shared" si="8"/>
        <v>0</v>
      </c>
    </row>
    <row r="14" spans="1:17" x14ac:dyDescent="0.25">
      <c r="A14" s="66" t="s">
        <v>163</v>
      </c>
      <c r="B14" s="9">
        <f t="shared" si="0"/>
        <v>0</v>
      </c>
      <c r="C14" s="9">
        <f t="shared" si="1"/>
        <v>0</v>
      </c>
      <c r="D14" s="9">
        <f>'December 2024'!$C$35</f>
        <v>0</v>
      </c>
      <c r="E14" s="9">
        <f t="shared" si="2"/>
        <v>0</v>
      </c>
      <c r="F14" s="9">
        <f>'December 2024'!$D$34</f>
        <v>0</v>
      </c>
      <c r="G14" s="9">
        <f t="shared" si="3"/>
        <v>0</v>
      </c>
      <c r="H14" s="9">
        <f>'December 2024'!$E$34</f>
        <v>0</v>
      </c>
      <c r="I14" s="9">
        <f t="shared" si="4"/>
        <v>0</v>
      </c>
      <c r="J14" s="9">
        <f>'December 2024'!$F$34</f>
        <v>0</v>
      </c>
      <c r="K14" s="9">
        <f t="shared" si="5"/>
        <v>0</v>
      </c>
      <c r="L14" s="9">
        <f>'December 2024'!$G$34</f>
        <v>0</v>
      </c>
      <c r="M14" s="9">
        <f t="shared" si="6"/>
        <v>0</v>
      </c>
      <c r="N14" s="9">
        <f>'December 2024'!$H$34</f>
        <v>0</v>
      </c>
      <c r="O14" s="9">
        <f t="shared" si="7"/>
        <v>0</v>
      </c>
      <c r="P14" s="9">
        <f>'December 2024'!$I$34</f>
        <v>0</v>
      </c>
      <c r="Q14" s="9">
        <f t="shared" si="8"/>
        <v>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996"/>
  <sheetViews>
    <sheetView workbookViewId="0"/>
  </sheetViews>
  <sheetFormatPr defaultColWidth="14.42578125" defaultRowHeight="15" customHeight="1" x14ac:dyDescent="0.25"/>
  <cols>
    <col min="1" max="1" width="16.7109375" customWidth="1"/>
    <col min="3" max="3" width="16" customWidth="1"/>
    <col min="4" max="4" width="16.140625" customWidth="1"/>
    <col min="5" max="5" width="16.7109375" customWidth="1"/>
    <col min="6" max="6" width="13.28515625" customWidth="1"/>
    <col min="7" max="7" width="14.5703125" customWidth="1"/>
    <col min="9" max="14" width="14.140625" customWidth="1"/>
    <col min="15" max="15" width="12.85546875" customWidth="1"/>
    <col min="16" max="16" width="12.5703125" customWidth="1"/>
    <col min="17" max="17" width="8.7109375" customWidth="1"/>
    <col min="18" max="18" width="13.42578125" customWidth="1"/>
    <col min="19" max="31" width="8.7109375" customWidth="1"/>
  </cols>
  <sheetData>
    <row r="1" spans="1:31" x14ac:dyDescent="0.25">
      <c r="A1" s="1" t="s">
        <v>109</v>
      </c>
      <c r="B1" s="1"/>
      <c r="C1" s="1"/>
      <c r="D1" s="1"/>
      <c r="E1" s="1"/>
      <c r="F1" s="1"/>
      <c r="G1" s="1"/>
    </row>
    <row r="2" spans="1:31" x14ac:dyDescent="0.2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ht="26.25" x14ac:dyDescent="0.25">
      <c r="A3" s="6" t="s">
        <v>14</v>
      </c>
      <c r="B3" s="6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7" t="s">
        <v>23</v>
      </c>
      <c r="K3" s="7" t="s">
        <v>24</v>
      </c>
      <c r="L3" s="7" t="s">
        <v>25</v>
      </c>
      <c r="M3" s="7" t="s">
        <v>26</v>
      </c>
      <c r="N3" s="7" t="s">
        <v>27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x14ac:dyDescent="0.25">
      <c r="A4" s="8" t="s">
        <v>28</v>
      </c>
      <c r="B4" s="9">
        <v>42875.080000000024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>
        <v>42875.080000000024</v>
      </c>
      <c r="N4" s="10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x14ac:dyDescent="0.25">
      <c r="A5" s="8" t="s">
        <v>78</v>
      </c>
      <c r="B5" s="9">
        <v>3029020.7399999998</v>
      </c>
      <c r="C5" s="11">
        <v>856174.58</v>
      </c>
      <c r="D5" s="11">
        <v>621029.40999999992</v>
      </c>
      <c r="E5" s="11">
        <v>798181.63</v>
      </c>
      <c r="F5" s="12">
        <v>71342.150000000009</v>
      </c>
      <c r="G5" s="10">
        <v>0</v>
      </c>
      <c r="H5" s="10">
        <v>0</v>
      </c>
      <c r="I5" s="10">
        <v>217357.43</v>
      </c>
      <c r="J5" s="10">
        <v>248877</v>
      </c>
      <c r="K5" s="10">
        <v>54049.56</v>
      </c>
      <c r="L5" s="10">
        <v>142133.22</v>
      </c>
      <c r="M5" s="10"/>
      <c r="N5" s="10">
        <v>19875.759999999998</v>
      </c>
      <c r="O5" s="13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x14ac:dyDescent="0.25">
      <c r="A6" s="8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4"/>
      <c r="AA6" s="5"/>
      <c r="AB6" s="5"/>
    </row>
    <row r="7" spans="1:31" x14ac:dyDescent="0.25">
      <c r="A7" s="1" t="s">
        <v>32</v>
      </c>
      <c r="B7" s="15">
        <f t="shared" ref="B7:N7" si="0">SUM(B4:B6)</f>
        <v>3071895.82</v>
      </c>
      <c r="C7" s="15">
        <f t="shared" si="0"/>
        <v>856174.58</v>
      </c>
      <c r="D7" s="15">
        <f t="shared" si="0"/>
        <v>621029.40999999992</v>
      </c>
      <c r="E7" s="15">
        <f t="shared" si="0"/>
        <v>798181.63</v>
      </c>
      <c r="F7" s="15">
        <f t="shared" si="0"/>
        <v>71342.150000000009</v>
      </c>
      <c r="G7" s="15">
        <f t="shared" si="0"/>
        <v>0</v>
      </c>
      <c r="H7" s="15">
        <f t="shared" si="0"/>
        <v>0</v>
      </c>
      <c r="I7" s="15">
        <f t="shared" si="0"/>
        <v>217357.43</v>
      </c>
      <c r="J7" s="15">
        <f t="shared" si="0"/>
        <v>248877</v>
      </c>
      <c r="K7" s="15">
        <f t="shared" si="0"/>
        <v>54049.56</v>
      </c>
      <c r="L7" s="15">
        <f t="shared" si="0"/>
        <v>142133.22</v>
      </c>
      <c r="M7" s="15">
        <f t="shared" si="0"/>
        <v>42875.080000000024</v>
      </c>
      <c r="N7" s="15">
        <f t="shared" si="0"/>
        <v>19875.759999999998</v>
      </c>
      <c r="AA7" s="5"/>
      <c r="AB7" s="5"/>
    </row>
    <row r="8" spans="1:31" x14ac:dyDescent="0.25">
      <c r="A8" s="1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4"/>
      <c r="AA8" s="5"/>
      <c r="AB8" s="5"/>
    </row>
    <row r="9" spans="1:31" x14ac:dyDescent="0.25">
      <c r="A9" s="67" t="s">
        <v>33</v>
      </c>
      <c r="B9" s="16"/>
      <c r="C9" s="17" t="s">
        <v>3</v>
      </c>
      <c r="D9" s="17" t="s">
        <v>4</v>
      </c>
      <c r="E9" s="17" t="s">
        <v>5</v>
      </c>
      <c r="F9" s="17" t="s">
        <v>6</v>
      </c>
      <c r="G9" s="17" t="s">
        <v>34</v>
      </c>
      <c r="H9" s="17" t="s">
        <v>35</v>
      </c>
      <c r="I9" s="17" t="s">
        <v>8</v>
      </c>
      <c r="J9" s="17" t="s">
        <v>36</v>
      </c>
      <c r="K9" s="17" t="s">
        <v>37</v>
      </c>
      <c r="L9" s="17" t="s">
        <v>38</v>
      </c>
      <c r="M9" s="17" t="s">
        <v>12</v>
      </c>
      <c r="N9" s="17" t="s">
        <v>13</v>
      </c>
      <c r="AA9" s="5"/>
      <c r="AB9" s="5"/>
    </row>
    <row r="10" spans="1:31" x14ac:dyDescent="0.25">
      <c r="A10" s="68"/>
      <c r="B10" s="16">
        <f>SUM(C10:N10)</f>
        <v>3071895.82</v>
      </c>
      <c r="C10" s="18">
        <f t="shared" ref="C10:N10" si="1">C7</f>
        <v>856174.58</v>
      </c>
      <c r="D10" s="18">
        <f t="shared" si="1"/>
        <v>621029.40999999992</v>
      </c>
      <c r="E10" s="18">
        <f t="shared" si="1"/>
        <v>798181.63</v>
      </c>
      <c r="F10" s="18">
        <f t="shared" si="1"/>
        <v>71342.150000000009</v>
      </c>
      <c r="G10" s="18">
        <f t="shared" si="1"/>
        <v>0</v>
      </c>
      <c r="H10" s="18">
        <f t="shared" si="1"/>
        <v>0</v>
      </c>
      <c r="I10" s="18">
        <f t="shared" si="1"/>
        <v>217357.43</v>
      </c>
      <c r="J10" s="18">
        <f t="shared" si="1"/>
        <v>248877</v>
      </c>
      <c r="K10" s="18">
        <f t="shared" si="1"/>
        <v>54049.56</v>
      </c>
      <c r="L10" s="18">
        <f t="shared" si="1"/>
        <v>142133.22</v>
      </c>
      <c r="M10" s="18">
        <f t="shared" si="1"/>
        <v>42875.080000000024</v>
      </c>
      <c r="N10" s="18">
        <f t="shared" si="1"/>
        <v>19875.759999999998</v>
      </c>
      <c r="O10" s="14"/>
      <c r="AA10" s="5"/>
      <c r="AB10" s="5"/>
    </row>
    <row r="11" spans="1:31" x14ac:dyDescent="0.25">
      <c r="A11" s="19" t="s">
        <v>39</v>
      </c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AA11" s="5"/>
      <c r="AB11" s="5"/>
    </row>
    <row r="12" spans="1:31" x14ac:dyDescent="0.25">
      <c r="A12" s="21" t="s">
        <v>110</v>
      </c>
      <c r="B12" s="10"/>
      <c r="C12" s="10">
        <v>22769.89</v>
      </c>
      <c r="D12" s="10">
        <v>5336.32</v>
      </c>
      <c r="E12" s="10">
        <v>65940.210000000006</v>
      </c>
      <c r="F12" s="10"/>
      <c r="G12" s="10"/>
      <c r="H12" s="10"/>
      <c r="I12" s="10"/>
      <c r="J12" s="10"/>
      <c r="K12" s="10"/>
      <c r="L12" s="10">
        <v>2329.2199999999998</v>
      </c>
      <c r="M12" s="10"/>
      <c r="N12" s="10"/>
      <c r="O12" s="14"/>
      <c r="AA12" s="5"/>
      <c r="AB12" s="5"/>
    </row>
    <row r="13" spans="1:31" x14ac:dyDescent="0.25">
      <c r="A13" s="20" t="s">
        <v>41</v>
      </c>
      <c r="B13" s="10"/>
      <c r="C13" s="10"/>
      <c r="D13" s="10"/>
      <c r="E13" s="10"/>
      <c r="F13" s="10"/>
      <c r="AA13" s="5"/>
      <c r="AB13" s="5"/>
    </row>
    <row r="14" spans="1:31" x14ac:dyDescent="0.25">
      <c r="A14" s="21" t="s">
        <v>42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4"/>
      <c r="AA14" s="5"/>
      <c r="AB14" s="5"/>
    </row>
    <row r="15" spans="1:31" x14ac:dyDescent="0.25">
      <c r="A15" s="21" t="s">
        <v>43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22"/>
      <c r="P15" s="22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5"/>
      <c r="AB15" s="5"/>
      <c r="AC15" s="23"/>
      <c r="AD15" s="23"/>
      <c r="AE15" s="23"/>
    </row>
    <row r="16" spans="1:31" x14ac:dyDescent="0.25">
      <c r="A16" s="21" t="s">
        <v>44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22"/>
      <c r="P16" s="22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5"/>
      <c r="AB16" s="5"/>
      <c r="AC16" s="23"/>
      <c r="AD16" s="23"/>
      <c r="AE16" s="23"/>
    </row>
    <row r="17" spans="1:29" x14ac:dyDescent="0.25">
      <c r="A17" s="21" t="s">
        <v>45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AA17" s="5"/>
      <c r="AB17" s="5"/>
    </row>
    <row r="18" spans="1:29" x14ac:dyDescent="0.25">
      <c r="A18" s="21" t="s">
        <v>46</v>
      </c>
      <c r="B18" s="10"/>
      <c r="C18" s="10"/>
      <c r="D18" s="10"/>
      <c r="E18" s="10"/>
      <c r="G18" s="10"/>
      <c r="H18" s="10"/>
      <c r="I18" s="10"/>
      <c r="J18" s="10"/>
      <c r="K18" s="10"/>
      <c r="L18" s="10"/>
      <c r="M18" s="10"/>
      <c r="N18" s="10"/>
      <c r="AA18" s="5"/>
      <c r="AB18" s="5"/>
    </row>
    <row r="19" spans="1:29" ht="15.75" customHeight="1" x14ac:dyDescent="0.25">
      <c r="A19" s="21" t="s">
        <v>47</v>
      </c>
      <c r="B19" s="10"/>
      <c r="C19" s="10"/>
      <c r="D19" s="10"/>
      <c r="E19" s="10"/>
      <c r="F19" s="10"/>
      <c r="H19" s="24"/>
      <c r="I19" s="24"/>
      <c r="J19" s="10"/>
      <c r="K19" s="10"/>
      <c r="L19" s="10"/>
      <c r="M19" s="10"/>
      <c r="N19" s="10"/>
      <c r="O19" s="25"/>
      <c r="P19" s="25"/>
      <c r="Q19" s="25"/>
      <c r="AA19" s="5"/>
      <c r="AB19" s="5"/>
    </row>
    <row r="20" spans="1:29" ht="15.75" customHeight="1" x14ac:dyDescent="0.25">
      <c r="A20" s="1" t="s">
        <v>48</v>
      </c>
      <c r="B20" s="26">
        <f t="shared" ref="B20:B22" si="2">SUM(C20:N20)</f>
        <v>96375.640000000014</v>
      </c>
      <c r="C20" s="9">
        <f t="shared" ref="C20:N20" si="3">SUM(C12:C19)</f>
        <v>22769.89</v>
      </c>
      <c r="D20" s="9">
        <f t="shared" si="3"/>
        <v>5336.32</v>
      </c>
      <c r="E20" s="9">
        <f t="shared" si="3"/>
        <v>65940.210000000006</v>
      </c>
      <c r="F20" s="9">
        <f t="shared" si="3"/>
        <v>0</v>
      </c>
      <c r="G20" s="9">
        <f t="shared" si="3"/>
        <v>0</v>
      </c>
      <c r="H20" s="9">
        <f t="shared" si="3"/>
        <v>0</v>
      </c>
      <c r="I20" s="9">
        <f t="shared" si="3"/>
        <v>0</v>
      </c>
      <c r="J20" s="9">
        <f t="shared" si="3"/>
        <v>0</v>
      </c>
      <c r="K20" s="9">
        <f t="shared" si="3"/>
        <v>0</v>
      </c>
      <c r="L20" s="9">
        <f t="shared" si="3"/>
        <v>2329.2199999999998</v>
      </c>
      <c r="M20" s="9">
        <f t="shared" si="3"/>
        <v>0</v>
      </c>
      <c r="N20" s="9">
        <f t="shared" si="3"/>
        <v>0</v>
      </c>
      <c r="O20" s="10"/>
      <c r="P20" s="10"/>
      <c r="Q20" s="10"/>
      <c r="AA20" s="5"/>
      <c r="AB20" s="5"/>
    </row>
    <row r="21" spans="1:29" ht="15.75" customHeight="1" x14ac:dyDescent="0.25">
      <c r="A21" s="1" t="s">
        <v>49</v>
      </c>
      <c r="B21" s="26">
        <f t="shared" si="2"/>
        <v>8011.52</v>
      </c>
      <c r="C21" s="10">
        <v>2264.52</v>
      </c>
      <c r="D21" s="10">
        <v>1642.57</v>
      </c>
      <c r="E21" s="10">
        <v>2111.13</v>
      </c>
      <c r="F21" s="10">
        <v>188.69</v>
      </c>
      <c r="G21" s="21"/>
      <c r="H21" s="21"/>
      <c r="I21" s="21">
        <v>574.89</v>
      </c>
      <c r="J21" s="21">
        <v>658.26</v>
      </c>
      <c r="K21" s="21">
        <v>195.53</v>
      </c>
      <c r="L21" s="21">
        <v>375.93</v>
      </c>
      <c r="M21" s="21"/>
      <c r="N21" s="21"/>
      <c r="O21" s="10"/>
      <c r="P21" s="10"/>
      <c r="Q21" s="10"/>
      <c r="AA21" s="5"/>
      <c r="AB21" s="5"/>
    </row>
    <row r="22" spans="1:29" ht="15.75" customHeight="1" x14ac:dyDescent="0.25">
      <c r="A22" s="1" t="s">
        <v>50</v>
      </c>
      <c r="B22" s="26">
        <f t="shared" si="2"/>
        <v>350378.6</v>
      </c>
      <c r="C22" s="10">
        <v>180880.21</v>
      </c>
      <c r="D22" s="10">
        <v>2780.59</v>
      </c>
      <c r="E22" s="10">
        <v>54480.97</v>
      </c>
      <c r="F22" s="10">
        <v>2478.33</v>
      </c>
      <c r="G22" s="10"/>
      <c r="H22" s="10"/>
      <c r="I22" s="10">
        <v>109758.5</v>
      </c>
      <c r="J22" s="10"/>
      <c r="K22" s="10"/>
      <c r="L22" s="10"/>
      <c r="M22" s="10"/>
      <c r="N22" s="10"/>
      <c r="O22" s="14"/>
      <c r="P22" s="14"/>
      <c r="Q22" s="14"/>
      <c r="R22" s="14"/>
      <c r="AA22" s="5"/>
      <c r="AB22" s="5"/>
    </row>
    <row r="23" spans="1:29" ht="15.75" customHeight="1" x14ac:dyDescent="0.25">
      <c r="A23" s="1" t="s">
        <v>51</v>
      </c>
      <c r="B23" s="9">
        <f>C23+D23+E23+F23+I23</f>
        <v>0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4"/>
      <c r="P23" s="14"/>
      <c r="Q23" s="14"/>
      <c r="R23" s="14"/>
      <c r="AA23" s="5"/>
      <c r="AB23" s="5"/>
    </row>
    <row r="24" spans="1:29" ht="15.75" customHeight="1" x14ac:dyDescent="0.25">
      <c r="A24" s="1" t="s">
        <v>46</v>
      </c>
      <c r="B24" s="9"/>
      <c r="C24" s="10">
        <v>19.16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4"/>
      <c r="P24" s="14"/>
      <c r="Q24" s="14"/>
      <c r="R24" s="14"/>
      <c r="AA24" s="5"/>
      <c r="AB24" s="5"/>
    </row>
    <row r="25" spans="1:29" ht="15.75" customHeight="1" x14ac:dyDescent="0.25">
      <c r="A25" s="1" t="s">
        <v>52</v>
      </c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R25" s="14"/>
      <c r="AA25" s="5"/>
    </row>
    <row r="26" spans="1:29" ht="15.75" customHeight="1" x14ac:dyDescent="0.25">
      <c r="A26" s="1" t="s">
        <v>53</v>
      </c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R26" s="14"/>
      <c r="AA26" s="5"/>
    </row>
    <row r="27" spans="1:29" ht="15.75" customHeight="1" x14ac:dyDescent="0.25">
      <c r="A27" s="1" t="s">
        <v>54</v>
      </c>
      <c r="B27" s="9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R27" s="14"/>
      <c r="AA27" s="5"/>
    </row>
    <row r="28" spans="1:29" ht="15.75" customHeight="1" x14ac:dyDescent="0.25">
      <c r="A28" s="1" t="s">
        <v>47</v>
      </c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R28" s="14"/>
      <c r="AC28" s="27"/>
    </row>
    <row r="29" spans="1:29" ht="15.75" customHeight="1" x14ac:dyDescent="0.25">
      <c r="A29" s="1" t="s">
        <v>55</v>
      </c>
      <c r="B29" s="26">
        <f>SUM(C29:N29)</f>
        <v>350397.76</v>
      </c>
      <c r="C29" s="10">
        <f t="shared" ref="C29:N29" si="4">SUM(C22:C28)</f>
        <v>180899.37</v>
      </c>
      <c r="D29" s="10">
        <f t="shared" si="4"/>
        <v>2780.59</v>
      </c>
      <c r="E29" s="10">
        <f t="shared" si="4"/>
        <v>54480.97</v>
      </c>
      <c r="F29" s="10">
        <f t="shared" si="4"/>
        <v>2478.33</v>
      </c>
      <c r="G29" s="10">
        <f t="shared" si="4"/>
        <v>0</v>
      </c>
      <c r="H29" s="10">
        <f t="shared" si="4"/>
        <v>0</v>
      </c>
      <c r="I29" s="10">
        <f t="shared" si="4"/>
        <v>109758.5</v>
      </c>
      <c r="J29" s="10">
        <f t="shared" si="4"/>
        <v>0</v>
      </c>
      <c r="K29" s="10">
        <f t="shared" si="4"/>
        <v>0</v>
      </c>
      <c r="L29" s="10">
        <f t="shared" si="4"/>
        <v>0</v>
      </c>
      <c r="M29" s="10">
        <f t="shared" si="4"/>
        <v>0</v>
      </c>
      <c r="N29" s="10">
        <f t="shared" si="4"/>
        <v>0</v>
      </c>
      <c r="R29" s="14"/>
    </row>
    <row r="30" spans="1:29" ht="15.75" customHeight="1" x14ac:dyDescent="0.25">
      <c r="A30" s="1" t="s">
        <v>56</v>
      </c>
      <c r="B30" s="26">
        <f>C30+E30+D30</f>
        <v>30127.11</v>
      </c>
      <c r="C30" s="10">
        <v>16651.45</v>
      </c>
      <c r="D30" s="10">
        <v>1232.27</v>
      </c>
      <c r="E30" s="10">
        <v>12243.39</v>
      </c>
      <c r="F30" s="10"/>
      <c r="H30" s="25"/>
      <c r="I30" s="25"/>
      <c r="J30" s="25"/>
      <c r="K30" s="25"/>
      <c r="L30" s="25"/>
      <c r="M30" s="25"/>
      <c r="N30" s="25"/>
    </row>
    <row r="31" spans="1:29" ht="15.75" customHeight="1" x14ac:dyDescent="0.25">
      <c r="A31" s="1" t="s">
        <v>56</v>
      </c>
      <c r="B31" s="26">
        <f t="shared" ref="B31:B33" si="5">SUM(C31:G31)</f>
        <v>18775.18</v>
      </c>
      <c r="C31" s="10">
        <v>5793.63</v>
      </c>
      <c r="D31" s="10">
        <v>853.2</v>
      </c>
      <c r="E31" s="10">
        <v>12128.35</v>
      </c>
    </row>
    <row r="32" spans="1:29" ht="15.75" customHeight="1" x14ac:dyDescent="0.25">
      <c r="A32" s="1" t="s">
        <v>56</v>
      </c>
      <c r="B32" s="26">
        <f t="shared" si="5"/>
        <v>0</v>
      </c>
      <c r="C32" s="10"/>
      <c r="D32" s="10"/>
      <c r="E32" s="10"/>
    </row>
    <row r="33" spans="1:15" ht="15.75" customHeight="1" x14ac:dyDescent="0.25">
      <c r="A33" s="1" t="s">
        <v>56</v>
      </c>
      <c r="B33" s="26">
        <f t="shared" si="5"/>
        <v>0</v>
      </c>
      <c r="C33" s="10"/>
      <c r="D33" s="10"/>
      <c r="E33" s="10"/>
    </row>
    <row r="34" spans="1:15" ht="15.75" customHeight="1" x14ac:dyDescent="0.25">
      <c r="A34" s="1" t="s">
        <v>57</v>
      </c>
      <c r="B34" s="15">
        <f t="shared" ref="B34:B35" si="6">SUM(C34:N34)</f>
        <v>2776944.6899999995</v>
      </c>
      <c r="C34" s="12">
        <f t="shared" ref="C34:E34" si="7">C10+C20+C21-C31-C29-C30-C32-C33</f>
        <v>677864.54</v>
      </c>
      <c r="D34" s="12">
        <f t="shared" si="7"/>
        <v>623142.23999999987</v>
      </c>
      <c r="E34" s="12">
        <f t="shared" si="7"/>
        <v>787380.26</v>
      </c>
      <c r="F34" s="12">
        <f t="shared" ref="F34:L34" si="8">F10+F20+F21-F31-F29-F30-F32</f>
        <v>69052.510000000009</v>
      </c>
      <c r="G34" s="12">
        <f t="shared" si="8"/>
        <v>0</v>
      </c>
      <c r="H34" s="12">
        <f t="shared" si="8"/>
        <v>0</v>
      </c>
      <c r="I34" s="12">
        <f t="shared" si="8"/>
        <v>108173.82</v>
      </c>
      <c r="J34" s="12">
        <f t="shared" si="8"/>
        <v>249535.26</v>
      </c>
      <c r="K34" s="12">
        <f t="shared" si="8"/>
        <v>54245.09</v>
      </c>
      <c r="L34" s="12">
        <f t="shared" si="8"/>
        <v>144838.37</v>
      </c>
      <c r="M34" s="12">
        <f>B57-M29</f>
        <v>42836.840000000026</v>
      </c>
      <c r="N34" s="12">
        <f>N10+N20+N21-N31-N29-N30-N32</f>
        <v>19875.759999999998</v>
      </c>
    </row>
    <row r="35" spans="1:15" ht="15.75" customHeight="1" x14ac:dyDescent="0.25">
      <c r="A35" s="1" t="s">
        <v>111</v>
      </c>
      <c r="B35" s="9">
        <f t="shared" si="6"/>
        <v>2769551.6199999992</v>
      </c>
      <c r="C35" s="12">
        <f>284517.53+9091.86+379267.6</f>
        <v>672876.99</v>
      </c>
      <c r="D35" s="12">
        <f>289795.51+184435.27+148911.46</f>
        <v>623142.24</v>
      </c>
      <c r="E35" s="12">
        <f>215947.48+28592.54+543079.3</f>
        <v>787619.32000000007</v>
      </c>
      <c r="F35" s="12">
        <f>13453.42+55599.09</f>
        <v>69052.509999999995</v>
      </c>
      <c r="G35" s="12">
        <v>0</v>
      </c>
      <c r="H35" s="12">
        <v>0</v>
      </c>
      <c r="I35" s="12">
        <f>106837.6+1336.22</f>
        <v>108173.82</v>
      </c>
      <c r="J35" s="12">
        <v>249535.26</v>
      </c>
      <c r="K35" s="12">
        <f>44880.71+9364.38</f>
        <v>54245.09</v>
      </c>
      <c r="L35" s="12">
        <f>2909.35+46973+94956.02</f>
        <v>144838.37</v>
      </c>
      <c r="M35" s="12">
        <v>40192.26</v>
      </c>
      <c r="N35" s="12">
        <v>19875.759999999998</v>
      </c>
    </row>
    <row r="36" spans="1:15" ht="15.75" customHeight="1" x14ac:dyDescent="0.25">
      <c r="A36" s="1" t="s">
        <v>59</v>
      </c>
      <c r="B36" s="9">
        <f t="shared" ref="B36:N36" si="9">B35-B34</f>
        <v>-7393.070000000298</v>
      </c>
      <c r="C36" s="9">
        <f t="shared" si="9"/>
        <v>-4987.5500000000466</v>
      </c>
      <c r="D36" s="9">
        <f t="shared" si="9"/>
        <v>0</v>
      </c>
      <c r="E36" s="9">
        <f t="shared" si="9"/>
        <v>239.06000000005588</v>
      </c>
      <c r="F36" s="9">
        <f t="shared" si="9"/>
        <v>0</v>
      </c>
      <c r="G36" s="9">
        <f t="shared" si="9"/>
        <v>0</v>
      </c>
      <c r="H36" s="9">
        <f t="shared" si="9"/>
        <v>0</v>
      </c>
      <c r="I36" s="9">
        <f t="shared" si="9"/>
        <v>0</v>
      </c>
      <c r="J36" s="9">
        <f t="shared" si="9"/>
        <v>0</v>
      </c>
      <c r="K36" s="9">
        <f t="shared" si="9"/>
        <v>0</v>
      </c>
      <c r="L36" s="9">
        <f t="shared" si="9"/>
        <v>0</v>
      </c>
      <c r="M36" s="9">
        <f t="shared" si="9"/>
        <v>-2644.5800000000236</v>
      </c>
      <c r="N36" s="9">
        <f t="shared" si="9"/>
        <v>0</v>
      </c>
      <c r="O36" s="12"/>
    </row>
    <row r="37" spans="1:15" ht="15.75" customHeight="1" x14ac:dyDescent="0.25">
      <c r="A37" s="28"/>
      <c r="B37" s="16"/>
      <c r="C37" s="17"/>
      <c r="D37" s="17"/>
      <c r="E37" s="17"/>
      <c r="F37" s="17"/>
      <c r="G37" s="17" t="s">
        <v>60</v>
      </c>
      <c r="H37" s="17"/>
      <c r="I37" s="17"/>
      <c r="J37" s="17"/>
      <c r="K37" s="17"/>
      <c r="L37" s="17"/>
      <c r="M37" s="17"/>
      <c r="N37" s="17"/>
    </row>
    <row r="38" spans="1:15" ht="15.75" customHeight="1" x14ac:dyDescent="0.25">
      <c r="A38" s="29" t="s">
        <v>61</v>
      </c>
      <c r="B38" s="16">
        <f>M7</f>
        <v>42875.080000000024</v>
      </c>
      <c r="C38" s="17" t="s">
        <v>3</v>
      </c>
      <c r="D38" s="17" t="s">
        <v>4</v>
      </c>
      <c r="E38" s="17" t="s">
        <v>5</v>
      </c>
      <c r="F38" s="17" t="s">
        <v>6</v>
      </c>
      <c r="G38" s="17" t="s">
        <v>34</v>
      </c>
      <c r="H38" s="17" t="s">
        <v>35</v>
      </c>
      <c r="I38" s="17" t="s">
        <v>8</v>
      </c>
      <c r="J38" s="17" t="s">
        <v>36</v>
      </c>
      <c r="K38" s="17" t="s">
        <v>37</v>
      </c>
      <c r="L38" s="17" t="s">
        <v>38</v>
      </c>
      <c r="M38" s="17" t="s">
        <v>12</v>
      </c>
      <c r="N38" s="17" t="s">
        <v>13</v>
      </c>
    </row>
    <row r="39" spans="1:15" ht="15.75" customHeight="1" x14ac:dyDescent="0.25">
      <c r="A39" s="19" t="s">
        <v>62</v>
      </c>
      <c r="B39" s="10">
        <f>C39+E39+D39</f>
        <v>30127.11</v>
      </c>
      <c r="C39" s="10">
        <v>16651.45</v>
      </c>
      <c r="D39" s="10">
        <v>1232.27</v>
      </c>
      <c r="E39" s="10">
        <v>12243.39</v>
      </c>
      <c r="F39" s="10"/>
      <c r="H39" s="25"/>
      <c r="I39" s="25"/>
      <c r="J39" s="25"/>
      <c r="K39" s="25"/>
      <c r="L39" s="25"/>
      <c r="M39" s="25"/>
      <c r="N39" s="25"/>
    </row>
    <row r="40" spans="1:15" ht="15.75" customHeight="1" x14ac:dyDescent="0.25">
      <c r="A40" s="10"/>
      <c r="B40" s="10">
        <f t="shared" ref="B40:B43" si="10">C40+D40+E40</f>
        <v>18775.18</v>
      </c>
      <c r="C40" s="10">
        <v>5793.63</v>
      </c>
      <c r="D40" s="10">
        <v>853.2</v>
      </c>
      <c r="E40" s="10">
        <v>12128.35</v>
      </c>
      <c r="H40" s="25"/>
      <c r="I40" s="25"/>
      <c r="J40" s="25"/>
      <c r="K40" s="25"/>
      <c r="L40" s="25"/>
      <c r="M40" s="25"/>
      <c r="N40" s="25"/>
    </row>
    <row r="41" spans="1:15" ht="15.75" customHeight="1" x14ac:dyDescent="0.25">
      <c r="A41" s="21"/>
      <c r="B41" s="10">
        <f t="shared" si="10"/>
        <v>0</v>
      </c>
      <c r="C41" s="10"/>
      <c r="D41" s="10"/>
      <c r="E41" s="10"/>
      <c r="H41" s="25"/>
      <c r="I41" s="25"/>
      <c r="J41" s="25"/>
      <c r="K41" s="25"/>
      <c r="L41" s="25"/>
      <c r="M41" s="25"/>
      <c r="N41" s="25"/>
    </row>
    <row r="42" spans="1:15" ht="15.75" customHeight="1" x14ac:dyDescent="0.25">
      <c r="A42" s="21"/>
      <c r="B42" s="10">
        <f t="shared" si="10"/>
        <v>0</v>
      </c>
      <c r="C42" s="10"/>
      <c r="D42" s="10"/>
      <c r="E42" s="10"/>
      <c r="F42" s="10"/>
      <c r="H42" s="21"/>
      <c r="I42" s="21"/>
      <c r="J42" s="21"/>
      <c r="K42" s="21"/>
      <c r="L42" s="21"/>
      <c r="M42" s="21"/>
      <c r="N42" s="21"/>
    </row>
    <row r="43" spans="1:15" ht="15.75" customHeight="1" x14ac:dyDescent="0.25">
      <c r="A43" s="21"/>
      <c r="B43" s="10">
        <f t="shared" si="10"/>
        <v>0</v>
      </c>
      <c r="C43" s="10"/>
      <c r="D43" s="10"/>
      <c r="E43" s="10"/>
      <c r="F43" s="10"/>
      <c r="H43" s="21"/>
      <c r="I43" s="21"/>
      <c r="J43" s="21"/>
      <c r="K43" s="21"/>
      <c r="L43" s="21"/>
      <c r="M43" s="21"/>
      <c r="N43" s="21"/>
    </row>
    <row r="44" spans="1:15" ht="15.75" customHeight="1" x14ac:dyDescent="0.25">
      <c r="A44" s="1" t="s">
        <v>63</v>
      </c>
      <c r="B44" s="26">
        <f t="shared" ref="B44:B45" si="11">M44</f>
        <v>48902.29</v>
      </c>
      <c r="C44" s="10">
        <f t="shared" ref="C44:L44" si="12">SUM(C39:C43)</f>
        <v>22445.08</v>
      </c>
      <c r="D44" s="10">
        <f t="shared" si="12"/>
        <v>2085.4700000000003</v>
      </c>
      <c r="E44" s="10">
        <f t="shared" si="12"/>
        <v>24371.739999999998</v>
      </c>
      <c r="F44" s="10">
        <f t="shared" si="12"/>
        <v>0</v>
      </c>
      <c r="G44" s="10">
        <f t="shared" si="12"/>
        <v>0</v>
      </c>
      <c r="H44" s="10">
        <f t="shared" si="12"/>
        <v>0</v>
      </c>
      <c r="I44" s="10">
        <f t="shared" si="12"/>
        <v>0</v>
      </c>
      <c r="J44" s="10">
        <f t="shared" si="12"/>
        <v>0</v>
      </c>
      <c r="K44" s="10">
        <f t="shared" si="12"/>
        <v>0</v>
      </c>
      <c r="L44" s="10">
        <f t="shared" si="12"/>
        <v>0</v>
      </c>
      <c r="M44" s="26">
        <f>SUM(C44:L44)</f>
        <v>48902.29</v>
      </c>
      <c r="N44" s="9"/>
    </row>
    <row r="45" spans="1:15" ht="15.75" customHeight="1" x14ac:dyDescent="0.25">
      <c r="A45" s="1" t="s">
        <v>49</v>
      </c>
      <c r="B45" s="26">
        <f t="shared" si="11"/>
        <v>0</v>
      </c>
      <c r="D45" s="10"/>
      <c r="E45" s="10"/>
      <c r="F45" s="10"/>
      <c r="H45" s="9"/>
      <c r="I45" s="9"/>
      <c r="J45" s="9"/>
      <c r="K45" s="9"/>
      <c r="L45" s="9"/>
      <c r="M45" s="26"/>
      <c r="N45" s="9"/>
    </row>
    <row r="46" spans="1:15" ht="15.75" customHeight="1" x14ac:dyDescent="0.25">
      <c r="A46" s="1" t="s">
        <v>64</v>
      </c>
      <c r="B46" s="9"/>
      <c r="C46" s="10"/>
      <c r="D46" s="10"/>
      <c r="E46" s="10"/>
      <c r="F46" s="10"/>
      <c r="H46" s="10"/>
      <c r="I46" s="10"/>
      <c r="J46" s="10"/>
      <c r="K46" s="10"/>
      <c r="L46" s="10"/>
      <c r="M46" s="10"/>
      <c r="N46" s="10"/>
    </row>
    <row r="47" spans="1:15" ht="15.75" customHeight="1" x14ac:dyDescent="0.25">
      <c r="A47" s="21" t="s">
        <v>65</v>
      </c>
      <c r="C47" s="10"/>
      <c r="D47" s="10"/>
      <c r="E47" s="10"/>
      <c r="F47" s="10"/>
      <c r="H47" s="10"/>
      <c r="I47" s="10"/>
      <c r="J47" s="10"/>
      <c r="K47" s="10"/>
      <c r="L47" s="10"/>
      <c r="M47" s="10">
        <v>31042.82</v>
      </c>
      <c r="N47" s="10"/>
      <c r="O47" s="10"/>
    </row>
    <row r="48" spans="1:15" ht="15.75" customHeight="1" x14ac:dyDescent="0.25">
      <c r="A48" s="21" t="s">
        <v>66</v>
      </c>
      <c r="C48" s="10"/>
      <c r="D48" s="10"/>
      <c r="E48" s="10"/>
      <c r="F48" s="10"/>
      <c r="H48" s="10"/>
      <c r="I48" s="10"/>
      <c r="J48" s="10"/>
      <c r="K48" s="10"/>
      <c r="L48" s="10"/>
      <c r="M48" s="10">
        <v>2214.4499999999998</v>
      </c>
      <c r="N48" s="10"/>
    </row>
    <row r="49" spans="1:14" ht="15.75" customHeight="1" x14ac:dyDescent="0.25">
      <c r="A49" s="21" t="s">
        <v>67</v>
      </c>
      <c r="C49" s="10"/>
      <c r="D49" s="10"/>
      <c r="E49" s="10"/>
      <c r="F49" s="10"/>
      <c r="H49" s="10"/>
      <c r="I49" s="10"/>
      <c r="J49" s="10"/>
      <c r="K49" s="10"/>
      <c r="L49" s="10"/>
      <c r="M49" s="10">
        <f>2770.6+2770.6+647.95+647.95+3828.61</f>
        <v>10665.71</v>
      </c>
      <c r="N49" s="10"/>
    </row>
    <row r="50" spans="1:14" ht="15.75" customHeight="1" x14ac:dyDescent="0.25">
      <c r="A50" s="21" t="s">
        <v>68</v>
      </c>
      <c r="B50" s="10"/>
      <c r="C50" s="10"/>
      <c r="D50" s="10"/>
      <c r="E50" s="10"/>
      <c r="F50" s="10"/>
      <c r="H50" s="10"/>
      <c r="I50" s="10"/>
      <c r="J50" s="10"/>
      <c r="K50" s="10"/>
      <c r="L50" s="10"/>
      <c r="M50" s="10">
        <v>1689.13</v>
      </c>
      <c r="N50" s="10"/>
    </row>
    <row r="51" spans="1:14" ht="15.75" customHeight="1" x14ac:dyDescent="0.25">
      <c r="A51" s="21" t="s">
        <v>69</v>
      </c>
      <c r="B51" s="10"/>
      <c r="C51" s="10"/>
      <c r="D51" s="10"/>
      <c r="E51" s="10"/>
      <c r="F51" s="10"/>
      <c r="H51" s="10"/>
      <c r="I51" s="10"/>
      <c r="J51" s="10"/>
      <c r="K51" s="10"/>
      <c r="L51" s="10"/>
      <c r="M51" s="10">
        <v>243</v>
      </c>
      <c r="N51" s="10"/>
    </row>
    <row r="52" spans="1:14" ht="15.75" customHeight="1" x14ac:dyDescent="0.25">
      <c r="A52" s="21" t="s">
        <v>70</v>
      </c>
      <c r="B52" s="10"/>
      <c r="C52" s="10"/>
      <c r="D52" s="10"/>
      <c r="E52" s="10"/>
      <c r="F52" s="10"/>
      <c r="H52" s="10"/>
      <c r="I52" s="10"/>
      <c r="J52" s="10"/>
      <c r="K52" s="10"/>
      <c r="L52" s="10"/>
      <c r="M52" s="10">
        <v>1215.23</v>
      </c>
      <c r="N52" s="10"/>
    </row>
    <row r="53" spans="1:14" ht="15.75" customHeight="1" x14ac:dyDescent="0.25">
      <c r="A53" s="21" t="s">
        <v>71</v>
      </c>
      <c r="B53" s="10"/>
      <c r="C53" s="10"/>
      <c r="D53" s="10"/>
      <c r="E53" s="10"/>
      <c r="F53" s="10"/>
      <c r="H53" s="10"/>
      <c r="I53" s="10"/>
      <c r="J53" s="10"/>
      <c r="K53" s="10"/>
      <c r="L53" s="10"/>
      <c r="M53" s="10">
        <f>525.07+548</f>
        <v>1073.0700000000002</v>
      </c>
      <c r="N53" s="10"/>
    </row>
    <row r="54" spans="1:14" ht="15.75" customHeight="1" x14ac:dyDescent="0.25">
      <c r="A54" s="21" t="s">
        <v>72</v>
      </c>
      <c r="B54" s="10"/>
      <c r="C54" s="10"/>
      <c r="D54" s="10"/>
      <c r="E54" s="10"/>
      <c r="F54" s="10"/>
      <c r="H54" s="10"/>
      <c r="I54" s="10"/>
      <c r="J54" s="10"/>
      <c r="K54" s="10"/>
      <c r="L54" s="10"/>
      <c r="M54" s="10">
        <f>569.96+227.16</f>
        <v>797.12</v>
      </c>
      <c r="N54" s="10"/>
    </row>
    <row r="55" spans="1:14" ht="15.75" customHeight="1" x14ac:dyDescent="0.25">
      <c r="A55" s="21" t="s">
        <v>73</v>
      </c>
      <c r="B55" s="10"/>
      <c r="C55" s="10"/>
      <c r="D55" s="10"/>
      <c r="E55" s="10"/>
      <c r="F55" s="10"/>
      <c r="H55" s="10"/>
      <c r="I55" s="10"/>
      <c r="J55" s="10"/>
      <c r="K55" s="10"/>
      <c r="L55" s="10"/>
      <c r="M55" s="10"/>
      <c r="N55" s="10"/>
    </row>
    <row r="56" spans="1:14" ht="15.75" customHeight="1" x14ac:dyDescent="0.25">
      <c r="A56" s="1" t="s">
        <v>74</v>
      </c>
      <c r="B56" s="26">
        <f>SUM(C56:M56)</f>
        <v>48940.53</v>
      </c>
      <c r="C56" s="10"/>
      <c r="D56" s="10"/>
      <c r="E56" s="10"/>
      <c r="F56" s="10"/>
      <c r="H56" s="9"/>
      <c r="I56" s="9"/>
      <c r="J56" s="9"/>
      <c r="K56" s="9"/>
      <c r="L56" s="9"/>
      <c r="M56" s="26">
        <f>SUM(M47:M55)</f>
        <v>48940.53</v>
      </c>
      <c r="N56" s="9"/>
    </row>
    <row r="57" spans="1:14" ht="15.75" customHeight="1" x14ac:dyDescent="0.25">
      <c r="A57" s="1" t="s">
        <v>57</v>
      </c>
      <c r="B57" s="15">
        <f>B38+B44+B45-B56</f>
        <v>42836.840000000026</v>
      </c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1:14" ht="15.75" customHeight="1" x14ac:dyDescent="0.25">
      <c r="A58" s="1"/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1:14" ht="15.75" customHeight="1" x14ac:dyDescent="0.25">
      <c r="A59" s="2" t="s">
        <v>75</v>
      </c>
      <c r="B59" s="3" t="s">
        <v>2</v>
      </c>
      <c r="C59" s="4" t="s">
        <v>3</v>
      </c>
      <c r="D59" s="4" t="s">
        <v>4</v>
      </c>
      <c r="E59" s="4" t="s">
        <v>5</v>
      </c>
      <c r="F59" s="4" t="s">
        <v>6</v>
      </c>
      <c r="G59" s="4" t="s">
        <v>7</v>
      </c>
      <c r="H59" s="4" t="s">
        <v>7</v>
      </c>
      <c r="I59" s="4" t="s">
        <v>8</v>
      </c>
      <c r="J59" s="4" t="s">
        <v>9</v>
      </c>
      <c r="K59" s="4" t="s">
        <v>9</v>
      </c>
      <c r="L59" s="4" t="s">
        <v>9</v>
      </c>
      <c r="M59" s="4" t="s">
        <v>12</v>
      </c>
      <c r="N59" s="4" t="s">
        <v>13</v>
      </c>
    </row>
    <row r="60" spans="1:14" ht="15.75" customHeight="1" x14ac:dyDescent="0.25">
      <c r="A60" s="6" t="s">
        <v>14</v>
      </c>
      <c r="B60" s="6" t="s">
        <v>76</v>
      </c>
      <c r="C60" s="7" t="s">
        <v>16</v>
      </c>
      <c r="D60" s="7" t="s">
        <v>17</v>
      </c>
      <c r="E60" s="7" t="s">
        <v>18</v>
      </c>
      <c r="F60" s="7" t="s">
        <v>19</v>
      </c>
      <c r="G60" s="7" t="s">
        <v>20</v>
      </c>
      <c r="H60" s="7" t="s">
        <v>21</v>
      </c>
      <c r="I60" s="7" t="s">
        <v>22</v>
      </c>
      <c r="J60" s="7" t="s">
        <v>77</v>
      </c>
      <c r="K60" s="7" t="s">
        <v>24</v>
      </c>
      <c r="L60" s="7" t="s">
        <v>25</v>
      </c>
      <c r="M60" s="7" t="s">
        <v>26</v>
      </c>
      <c r="N60" s="7" t="s">
        <v>27</v>
      </c>
    </row>
    <row r="61" spans="1:14" ht="15.75" customHeight="1" x14ac:dyDescent="0.25">
      <c r="A61" s="8" t="s">
        <v>28</v>
      </c>
      <c r="B61" s="9">
        <f t="shared" ref="B61:B62" si="13">SUM(C61:N61)</f>
        <v>42836.840000000026</v>
      </c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>
        <f>B57</f>
        <v>42836.840000000026</v>
      </c>
      <c r="N61" s="10"/>
    </row>
    <row r="62" spans="1:14" ht="15.75" customHeight="1" x14ac:dyDescent="0.25">
      <c r="A62" s="8" t="s">
        <v>78</v>
      </c>
      <c r="B62" s="9">
        <f t="shared" si="13"/>
        <v>2734107.8499999996</v>
      </c>
      <c r="C62" s="12">
        <f t="shared" ref="C62:L62" si="14">C34</f>
        <v>677864.54</v>
      </c>
      <c r="D62" s="12">
        <f t="shared" si="14"/>
        <v>623142.23999999987</v>
      </c>
      <c r="E62" s="12">
        <f t="shared" si="14"/>
        <v>787380.26</v>
      </c>
      <c r="F62" s="12">
        <f t="shared" si="14"/>
        <v>69052.510000000009</v>
      </c>
      <c r="G62" s="10">
        <f t="shared" si="14"/>
        <v>0</v>
      </c>
      <c r="H62" s="10">
        <f t="shared" si="14"/>
        <v>0</v>
      </c>
      <c r="I62" s="10">
        <f t="shared" si="14"/>
        <v>108173.82</v>
      </c>
      <c r="J62" s="10">
        <f t="shared" si="14"/>
        <v>249535.26</v>
      </c>
      <c r="K62" s="10">
        <f t="shared" si="14"/>
        <v>54245.09</v>
      </c>
      <c r="L62" s="10">
        <f t="shared" si="14"/>
        <v>144838.37</v>
      </c>
      <c r="M62" s="10"/>
      <c r="N62" s="10">
        <f>N34</f>
        <v>19875.759999999998</v>
      </c>
    </row>
    <row r="63" spans="1:14" ht="15.75" customHeight="1" x14ac:dyDescent="0.25">
      <c r="A63" s="8"/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1:14" ht="15.75" customHeight="1" x14ac:dyDescent="0.25">
      <c r="A64" s="1" t="s">
        <v>32</v>
      </c>
      <c r="B64" s="15">
        <f>SUM(C64:N64)</f>
        <v>2776944.6899999995</v>
      </c>
      <c r="C64" s="15">
        <f t="shared" ref="C64:N64" si="15">SUM(C61:C62)</f>
        <v>677864.54</v>
      </c>
      <c r="D64" s="15">
        <f t="shared" si="15"/>
        <v>623142.23999999987</v>
      </c>
      <c r="E64" s="15">
        <f t="shared" si="15"/>
        <v>787380.26</v>
      </c>
      <c r="F64" s="15">
        <f t="shared" si="15"/>
        <v>69052.510000000009</v>
      </c>
      <c r="G64" s="15">
        <f t="shared" si="15"/>
        <v>0</v>
      </c>
      <c r="H64" s="15">
        <f t="shared" si="15"/>
        <v>0</v>
      </c>
      <c r="I64" s="15">
        <f t="shared" si="15"/>
        <v>108173.82</v>
      </c>
      <c r="J64" s="15">
        <f t="shared" si="15"/>
        <v>249535.26</v>
      </c>
      <c r="K64" s="15">
        <f t="shared" si="15"/>
        <v>54245.09</v>
      </c>
      <c r="L64" s="15">
        <f t="shared" si="15"/>
        <v>144838.37</v>
      </c>
      <c r="M64" s="15">
        <f t="shared" si="15"/>
        <v>42836.840000000026</v>
      </c>
      <c r="N64" s="15">
        <f t="shared" si="15"/>
        <v>19875.759999999998</v>
      </c>
    </row>
    <row r="65" spans="1:19" ht="15.75" customHeight="1" x14ac:dyDescent="0.25">
      <c r="A65" s="21"/>
      <c r="B65" s="21"/>
      <c r="C65" s="10"/>
      <c r="D65" s="10"/>
      <c r="E65" s="10"/>
      <c r="F65" s="10"/>
    </row>
    <row r="66" spans="1:19" ht="15.75" customHeight="1" x14ac:dyDescent="0.25">
      <c r="A66" s="21" t="str">
        <f>A1</f>
        <v xml:space="preserve">Month: February 2025                                                                                                                                </v>
      </c>
      <c r="B66" s="21"/>
      <c r="D66" s="10"/>
      <c r="E66" s="10"/>
      <c r="G66" s="10"/>
      <c r="H66" s="10"/>
      <c r="I66" s="10"/>
    </row>
    <row r="67" spans="1:19" ht="15.75" customHeight="1" x14ac:dyDescent="0.25">
      <c r="A67" s="10"/>
      <c r="B67" s="27" t="s">
        <v>79</v>
      </c>
      <c r="C67" s="27" t="s">
        <v>80</v>
      </c>
      <c r="D67" s="27" t="s">
        <v>81</v>
      </c>
      <c r="E67" s="27" t="s">
        <v>82</v>
      </c>
      <c r="F67" s="11" t="s">
        <v>83</v>
      </c>
      <c r="G67" s="10"/>
      <c r="H67" s="10"/>
      <c r="I67" s="10"/>
    </row>
    <row r="68" spans="1:19" ht="15.75" customHeight="1" x14ac:dyDescent="0.25">
      <c r="A68" s="30" t="s">
        <v>84</v>
      </c>
      <c r="B68" s="10"/>
      <c r="C68" s="10">
        <v>352586.07</v>
      </c>
      <c r="D68" s="10">
        <f>C103</f>
        <v>23634.21</v>
      </c>
      <c r="E68" s="10">
        <f>D89</f>
        <v>0</v>
      </c>
      <c r="F68" s="10">
        <f t="shared" ref="F68:F69" si="16">(C68-D68+E68)-B68</f>
        <v>328951.86</v>
      </c>
      <c r="G68" s="10"/>
      <c r="H68" s="10"/>
      <c r="I68" s="10">
        <f>C68-D68</f>
        <v>328951.86</v>
      </c>
      <c r="O68" s="14"/>
    </row>
    <row r="69" spans="1:19" ht="15.75" customHeight="1" x14ac:dyDescent="0.25">
      <c r="A69" s="30" t="s">
        <v>85</v>
      </c>
      <c r="B69" s="10">
        <f>B35-M35</f>
        <v>2729359.3599999994</v>
      </c>
      <c r="C69" s="10">
        <f>2289054.66+97763.04</f>
        <v>2386817.7000000002</v>
      </c>
      <c r="D69" s="10">
        <f>D85</f>
        <v>0</v>
      </c>
      <c r="E69" s="10">
        <f>E81</f>
        <v>0</v>
      </c>
      <c r="F69" s="10">
        <f t="shared" si="16"/>
        <v>-342541.65999999922</v>
      </c>
      <c r="H69" s="10"/>
      <c r="I69" s="10">
        <f>C69+E69</f>
        <v>2386817.7000000002</v>
      </c>
    </row>
    <row r="70" spans="1:19" ht="15.75" customHeight="1" x14ac:dyDescent="0.25">
      <c r="A70" s="30"/>
      <c r="B70" s="10"/>
      <c r="C70" s="10"/>
      <c r="D70" s="10"/>
      <c r="F70" s="31">
        <f>F68+F69</f>
        <v>-13589.799999999232</v>
      </c>
      <c r="G70" s="10"/>
      <c r="H70" s="10"/>
      <c r="I70" s="10">
        <f>I68+I69</f>
        <v>2715769.56</v>
      </c>
      <c r="O70" s="14"/>
    </row>
    <row r="71" spans="1:19" ht="15.75" customHeight="1" x14ac:dyDescent="0.25">
      <c r="A71" s="30" t="s">
        <v>28</v>
      </c>
      <c r="B71" s="10">
        <f>B57</f>
        <v>42836.840000000026</v>
      </c>
      <c r="C71" s="10">
        <v>46723.15</v>
      </c>
      <c r="D71" s="10">
        <f>J86</f>
        <v>1571.29</v>
      </c>
      <c r="E71" s="10">
        <f>J92</f>
        <v>0</v>
      </c>
      <c r="F71" s="10">
        <f>(C71-D71+E71)-B71</f>
        <v>2315.019999999975</v>
      </c>
      <c r="G71" s="10"/>
      <c r="H71" s="10"/>
      <c r="I71" s="10"/>
    </row>
    <row r="72" spans="1:19" ht="15.75" customHeight="1" x14ac:dyDescent="0.25">
      <c r="A72" s="8"/>
      <c r="B72" s="10"/>
      <c r="C72" s="10" t="s">
        <v>86</v>
      </c>
      <c r="D72" s="10"/>
      <c r="E72" s="10" t="s">
        <v>87</v>
      </c>
      <c r="F72" s="31">
        <f>F70+F71</f>
        <v>-11274.779999999257</v>
      </c>
      <c r="G72" s="10"/>
      <c r="H72" s="10"/>
      <c r="I72" s="10"/>
      <c r="J72" s="32"/>
      <c r="K72" s="32"/>
      <c r="L72" s="32"/>
      <c r="M72" s="32"/>
      <c r="N72" s="32"/>
    </row>
    <row r="73" spans="1:19" ht="15.75" customHeight="1" x14ac:dyDescent="0.25">
      <c r="A73" s="8"/>
      <c r="B73" s="10"/>
      <c r="C73" s="10"/>
      <c r="D73" s="10"/>
      <c r="E73" s="10"/>
      <c r="F73" s="10"/>
      <c r="G73" s="10"/>
      <c r="H73" s="10"/>
      <c r="I73" s="10"/>
      <c r="J73" s="32"/>
      <c r="K73" s="32"/>
      <c r="L73" s="32"/>
      <c r="M73" s="32"/>
      <c r="N73" s="32"/>
    </row>
    <row r="74" spans="1:19" ht="15.75" customHeight="1" x14ac:dyDescent="0.25">
      <c r="A74" s="27"/>
      <c r="B74" s="69" t="s">
        <v>88</v>
      </c>
      <c r="C74" s="70"/>
      <c r="D74" s="71" t="s">
        <v>89</v>
      </c>
      <c r="E74" s="72"/>
      <c r="F74" s="23" t="s">
        <v>90</v>
      </c>
      <c r="J74" s="33" t="s">
        <v>91</v>
      </c>
      <c r="K74" s="34"/>
      <c r="L74" s="34"/>
      <c r="M74" s="32"/>
      <c r="N74" s="32"/>
      <c r="O74" s="32"/>
      <c r="P74" s="32"/>
      <c r="Q74" s="32"/>
    </row>
    <row r="75" spans="1:19" ht="15.75" customHeight="1" x14ac:dyDescent="0.25">
      <c r="A75" s="35">
        <v>45575</v>
      </c>
      <c r="B75" s="23">
        <v>18568</v>
      </c>
      <c r="C75" s="14">
        <v>86</v>
      </c>
      <c r="D75" s="36" t="s">
        <v>92</v>
      </c>
      <c r="E75" s="37">
        <v>0</v>
      </c>
      <c r="H75" s="52">
        <v>45714</v>
      </c>
      <c r="I75" s="23">
        <v>8316</v>
      </c>
      <c r="J75" s="53">
        <v>227.13</v>
      </c>
      <c r="L75" s="8"/>
      <c r="S75" s="14"/>
    </row>
    <row r="76" spans="1:19" ht="15.75" customHeight="1" x14ac:dyDescent="0.25">
      <c r="A76" s="35">
        <v>45575</v>
      </c>
      <c r="B76" s="23">
        <v>18573</v>
      </c>
      <c r="C76" s="14">
        <v>143.28</v>
      </c>
      <c r="D76" s="38" t="s">
        <v>93</v>
      </c>
      <c r="E76" s="39">
        <v>0</v>
      </c>
      <c r="F76" s="22"/>
      <c r="H76" s="52">
        <v>45714</v>
      </c>
      <c r="I76" s="23">
        <v>8317</v>
      </c>
      <c r="J76" s="53">
        <v>243</v>
      </c>
      <c r="L76" s="8"/>
      <c r="S76" s="14"/>
    </row>
    <row r="77" spans="1:19" ht="15.75" customHeight="1" x14ac:dyDescent="0.25">
      <c r="A77" s="35">
        <v>45672</v>
      </c>
      <c r="B77" s="23">
        <v>18735</v>
      </c>
      <c r="C77" s="14">
        <v>43</v>
      </c>
      <c r="D77" s="38" t="s">
        <v>94</v>
      </c>
      <c r="E77" s="39">
        <v>0</v>
      </c>
      <c r="F77" s="22"/>
      <c r="H77" s="35">
        <v>45714</v>
      </c>
      <c r="I77" s="23" t="s">
        <v>71</v>
      </c>
      <c r="J77" s="53">
        <v>1101.1600000000001</v>
      </c>
      <c r="K77" s="8"/>
      <c r="L77" s="8"/>
      <c r="S77" s="14"/>
    </row>
    <row r="78" spans="1:19" ht="15.75" customHeight="1" x14ac:dyDescent="0.25">
      <c r="A78" s="35">
        <v>45672</v>
      </c>
      <c r="B78" s="23">
        <v>18767</v>
      </c>
      <c r="C78" s="14">
        <v>6170</v>
      </c>
      <c r="D78" s="38" t="s">
        <v>95</v>
      </c>
      <c r="E78" s="39">
        <v>0</v>
      </c>
      <c r="F78" s="22"/>
      <c r="J78" s="10"/>
      <c r="K78" s="8"/>
      <c r="L78" s="8"/>
      <c r="S78" s="14"/>
    </row>
    <row r="79" spans="1:19" ht="15.75" customHeight="1" x14ac:dyDescent="0.25">
      <c r="A79" s="52">
        <v>45700</v>
      </c>
      <c r="B79" s="54">
        <v>18788</v>
      </c>
      <c r="C79" s="53">
        <v>35</v>
      </c>
      <c r="D79" s="38" t="s">
        <v>96</v>
      </c>
      <c r="E79" s="39">
        <v>0</v>
      </c>
      <c r="J79" s="10"/>
      <c r="K79" s="8"/>
      <c r="L79" s="8"/>
      <c r="S79" s="14"/>
    </row>
    <row r="80" spans="1:19" ht="15.75" customHeight="1" x14ac:dyDescent="0.25">
      <c r="A80" s="52">
        <v>45700</v>
      </c>
      <c r="B80" s="54">
        <v>18790</v>
      </c>
      <c r="C80" s="53">
        <v>274.06</v>
      </c>
      <c r="D80" s="38" t="s">
        <v>97</v>
      </c>
      <c r="E80" s="39">
        <v>0</v>
      </c>
      <c r="F80" s="73" t="s">
        <v>98</v>
      </c>
      <c r="G80" s="72"/>
      <c r="H80" s="23"/>
      <c r="I80" s="23"/>
      <c r="J80" s="10"/>
      <c r="K80" s="8"/>
      <c r="L80" s="8"/>
      <c r="S80" s="14"/>
    </row>
    <row r="81" spans="1:19" ht="15.75" customHeight="1" x14ac:dyDescent="0.25">
      <c r="A81" s="52">
        <v>45700</v>
      </c>
      <c r="B81" s="54">
        <v>18797</v>
      </c>
      <c r="C81" s="53">
        <v>3033.23</v>
      </c>
      <c r="D81" s="40"/>
      <c r="E81" s="41">
        <f>E75+E76+E77+E78+E79+E80</f>
        <v>0</v>
      </c>
      <c r="F81" s="42"/>
      <c r="G81" s="43"/>
      <c r="H81" s="43"/>
      <c r="I81" s="43"/>
      <c r="J81" s="10"/>
      <c r="K81" s="8"/>
      <c r="L81" s="8"/>
      <c r="S81" s="14"/>
    </row>
    <row r="82" spans="1:19" ht="15.75" customHeight="1" x14ac:dyDescent="0.25">
      <c r="A82" s="52">
        <v>45700</v>
      </c>
      <c r="B82" s="54">
        <v>18807</v>
      </c>
      <c r="C82" s="53">
        <v>225.23</v>
      </c>
      <c r="D82" s="44" t="s">
        <v>99</v>
      </c>
      <c r="F82" s="23" t="s">
        <v>100</v>
      </c>
      <c r="G82" s="27"/>
      <c r="H82" s="27"/>
      <c r="I82" s="27"/>
      <c r="J82" s="10"/>
      <c r="K82" s="8"/>
      <c r="L82" s="8"/>
      <c r="S82" s="14"/>
    </row>
    <row r="83" spans="1:19" ht="15.75" customHeight="1" x14ac:dyDescent="0.25">
      <c r="A83" s="52">
        <v>45700</v>
      </c>
      <c r="B83" s="54">
        <v>18808</v>
      </c>
      <c r="C83" s="53">
        <v>237.88</v>
      </c>
      <c r="D83" s="45"/>
      <c r="F83" s="23" t="s">
        <v>101</v>
      </c>
      <c r="G83" s="27"/>
      <c r="H83" s="27"/>
      <c r="I83" s="27"/>
      <c r="J83" s="10"/>
      <c r="K83" s="8"/>
      <c r="L83" s="8"/>
      <c r="S83" s="14"/>
    </row>
    <row r="84" spans="1:19" ht="15.75" customHeight="1" x14ac:dyDescent="0.25">
      <c r="A84" s="52">
        <v>45700</v>
      </c>
      <c r="B84" s="54">
        <v>18812</v>
      </c>
      <c r="C84" s="53">
        <v>220</v>
      </c>
      <c r="D84" s="14"/>
      <c r="F84" s="23" t="s">
        <v>102</v>
      </c>
      <c r="G84" s="27"/>
      <c r="H84" s="27"/>
      <c r="I84" s="27"/>
      <c r="J84" s="10"/>
      <c r="K84" s="8"/>
      <c r="L84" s="8"/>
      <c r="S84" s="14"/>
    </row>
    <row r="85" spans="1:19" ht="15.75" customHeight="1" x14ac:dyDescent="0.25">
      <c r="A85" s="52">
        <v>45700</v>
      </c>
      <c r="B85" s="54">
        <v>18814</v>
      </c>
      <c r="C85" s="53">
        <v>900</v>
      </c>
      <c r="D85" s="46">
        <f>SUM(D83:D84)</f>
        <v>0</v>
      </c>
      <c r="F85" s="23" t="s">
        <v>103</v>
      </c>
      <c r="G85" s="27"/>
      <c r="H85" s="27"/>
      <c r="I85" s="27"/>
      <c r="J85" s="10"/>
      <c r="K85" s="8"/>
      <c r="L85" s="8"/>
      <c r="S85" s="14"/>
    </row>
    <row r="86" spans="1:19" ht="15.75" customHeight="1" x14ac:dyDescent="0.25">
      <c r="A86" s="52">
        <v>45714</v>
      </c>
      <c r="B86" s="54">
        <v>18832</v>
      </c>
      <c r="C86" s="53">
        <v>1009.41</v>
      </c>
      <c r="F86" s="23" t="s">
        <v>104</v>
      </c>
      <c r="G86" s="27"/>
      <c r="H86" s="27"/>
      <c r="I86" s="27"/>
      <c r="J86" s="47">
        <f>SUM(J75:J85)</f>
        <v>1571.29</v>
      </c>
      <c r="K86" s="8"/>
      <c r="L86" s="8"/>
      <c r="S86" s="14"/>
    </row>
    <row r="87" spans="1:19" ht="15.75" customHeight="1" x14ac:dyDescent="0.25">
      <c r="A87" s="52">
        <v>45714</v>
      </c>
      <c r="B87" s="54">
        <v>18833</v>
      </c>
      <c r="C87" s="53">
        <v>10047.290000000001</v>
      </c>
      <c r="F87" s="23" t="s">
        <v>105</v>
      </c>
      <c r="G87" s="27"/>
      <c r="H87" s="27"/>
      <c r="I87" s="27"/>
      <c r="J87" s="14"/>
      <c r="K87" s="8"/>
      <c r="L87" s="8"/>
      <c r="S87" s="14"/>
    </row>
    <row r="88" spans="1:19" ht="15.75" customHeight="1" x14ac:dyDescent="0.25">
      <c r="A88" s="52">
        <v>45714</v>
      </c>
      <c r="B88" s="54">
        <v>18834</v>
      </c>
      <c r="C88" s="53">
        <v>1209.83</v>
      </c>
      <c r="D88" s="33" t="s">
        <v>106</v>
      </c>
      <c r="E88" s="32"/>
      <c r="F88" s="23" t="s">
        <v>107</v>
      </c>
      <c r="G88" s="27"/>
      <c r="H88" s="27"/>
      <c r="I88" s="27"/>
      <c r="J88" s="33" t="s">
        <v>108</v>
      </c>
      <c r="K88" s="8"/>
      <c r="L88" s="8"/>
      <c r="S88" s="14"/>
    </row>
    <row r="89" spans="1:19" ht="15.75" customHeight="1" x14ac:dyDescent="0.25">
      <c r="A89" s="35"/>
      <c r="C89" s="14"/>
      <c r="D89" s="45"/>
      <c r="E89" s="32"/>
      <c r="F89" s="14"/>
      <c r="J89" s="48"/>
      <c r="K89" s="8"/>
      <c r="L89" s="8"/>
      <c r="S89" s="14"/>
    </row>
    <row r="90" spans="1:19" ht="15" customHeight="1" x14ac:dyDescent="0.25">
      <c r="A90" s="35"/>
      <c r="B90" s="23"/>
      <c r="C90" s="14"/>
      <c r="D90" s="14"/>
      <c r="E90" s="32"/>
      <c r="F90" s="14"/>
      <c r="G90" s="14"/>
      <c r="H90" s="14"/>
      <c r="I90" s="14"/>
      <c r="J90" s="48"/>
      <c r="K90" s="8"/>
      <c r="L90" s="8"/>
      <c r="S90" s="14"/>
    </row>
    <row r="91" spans="1:19" ht="15" customHeight="1" x14ac:dyDescent="0.25">
      <c r="A91" s="35"/>
      <c r="C91" s="14"/>
      <c r="D91" s="14"/>
      <c r="E91" s="32"/>
      <c r="F91" s="14"/>
      <c r="G91" s="14"/>
      <c r="H91" s="14"/>
      <c r="I91" s="14"/>
      <c r="J91" s="48"/>
      <c r="K91" s="8"/>
      <c r="L91" s="8"/>
      <c r="S91" s="14"/>
    </row>
    <row r="92" spans="1:19" ht="15" customHeight="1" x14ac:dyDescent="0.25">
      <c r="A92" s="35"/>
      <c r="B92" s="23"/>
      <c r="C92" s="14"/>
      <c r="D92" s="14"/>
      <c r="E92" s="32"/>
      <c r="F92" s="14"/>
      <c r="G92" s="14"/>
      <c r="H92" s="49"/>
      <c r="I92" s="8"/>
      <c r="J92" s="50">
        <f>SUM(J89:J91)</f>
        <v>0</v>
      </c>
      <c r="Q92" s="14"/>
    </row>
    <row r="93" spans="1:19" ht="15" customHeight="1" x14ac:dyDescent="0.25">
      <c r="A93" s="35"/>
      <c r="C93" s="14"/>
      <c r="D93" s="14"/>
      <c r="E93" s="32"/>
      <c r="F93" s="14"/>
      <c r="G93" s="14"/>
      <c r="H93" s="49"/>
      <c r="I93" s="8"/>
      <c r="J93" s="8"/>
      <c r="Q93" s="14"/>
    </row>
    <row r="94" spans="1:19" ht="15" customHeight="1" x14ac:dyDescent="0.25">
      <c r="A94" s="35"/>
      <c r="B94" s="23"/>
      <c r="C94" s="14"/>
      <c r="D94" s="14"/>
      <c r="E94" s="32"/>
      <c r="F94" s="14"/>
      <c r="G94" s="14"/>
      <c r="H94" s="49"/>
      <c r="I94" s="8"/>
      <c r="J94" s="8"/>
      <c r="Q94" s="14"/>
    </row>
    <row r="95" spans="1:19" ht="15" customHeight="1" x14ac:dyDescent="0.25">
      <c r="A95" s="35"/>
      <c r="B95" s="23"/>
      <c r="C95" s="14"/>
      <c r="D95" s="14"/>
      <c r="E95" s="32"/>
      <c r="F95" s="14"/>
      <c r="G95" s="14"/>
      <c r="H95" s="49"/>
      <c r="I95" s="8"/>
      <c r="J95" s="8"/>
      <c r="Q95" s="14"/>
    </row>
    <row r="96" spans="1:19" ht="15" customHeight="1" x14ac:dyDescent="0.25">
      <c r="A96" s="35"/>
      <c r="B96" s="23"/>
      <c r="C96" s="14"/>
      <c r="D96" s="14"/>
      <c r="E96" s="32"/>
      <c r="F96" s="14"/>
      <c r="G96" s="14"/>
      <c r="H96" s="49"/>
      <c r="I96" s="8"/>
      <c r="J96" s="8"/>
      <c r="Q96" s="14"/>
    </row>
    <row r="97" spans="1:17" ht="15" customHeight="1" x14ac:dyDescent="0.25">
      <c r="A97" s="35"/>
      <c r="B97" s="23"/>
      <c r="C97" s="14"/>
      <c r="D97" s="14"/>
      <c r="E97" s="32"/>
      <c r="F97" s="14"/>
      <c r="G97" s="14"/>
      <c r="H97" s="49"/>
      <c r="I97" s="8"/>
      <c r="J97" s="8"/>
      <c r="Q97" s="14"/>
    </row>
    <row r="98" spans="1:17" ht="15" customHeight="1" x14ac:dyDescent="0.25">
      <c r="A98" s="35"/>
      <c r="B98" s="23"/>
      <c r="C98" s="14"/>
      <c r="D98" s="14"/>
      <c r="E98" s="32"/>
      <c r="F98" s="14"/>
      <c r="G98" s="14"/>
      <c r="H98" s="49"/>
      <c r="I98" s="8"/>
      <c r="J98" s="8"/>
      <c r="Q98" s="14"/>
    </row>
    <row r="99" spans="1:17" ht="15" customHeight="1" x14ac:dyDescent="0.25">
      <c r="A99" s="35"/>
      <c r="B99" s="23"/>
      <c r="C99" s="14"/>
      <c r="D99" s="14"/>
      <c r="E99" s="32"/>
      <c r="F99" s="14"/>
      <c r="G99" s="14"/>
      <c r="H99" s="49"/>
      <c r="I99" s="8"/>
      <c r="J99" s="8"/>
      <c r="Q99" s="14"/>
    </row>
    <row r="100" spans="1:17" ht="15" customHeight="1" x14ac:dyDescent="0.25">
      <c r="A100" s="35"/>
      <c r="B100" s="23"/>
      <c r="C100" s="14"/>
      <c r="D100" s="14"/>
      <c r="E100" s="32"/>
      <c r="F100" s="14"/>
      <c r="G100" s="14"/>
      <c r="H100" s="49"/>
      <c r="I100" s="8"/>
      <c r="J100" s="8"/>
      <c r="Q100" s="14"/>
    </row>
    <row r="101" spans="1:17" ht="15" customHeight="1" x14ac:dyDescent="0.25">
      <c r="A101" s="35"/>
      <c r="B101" s="23"/>
      <c r="C101" s="14"/>
      <c r="D101" s="14"/>
      <c r="E101" s="32"/>
      <c r="F101" s="14"/>
      <c r="G101" s="14"/>
      <c r="H101" s="49"/>
      <c r="I101" s="8"/>
      <c r="J101" s="8"/>
      <c r="Q101" s="14"/>
    </row>
    <row r="102" spans="1:17" ht="15" customHeight="1" x14ac:dyDescent="0.25">
      <c r="A102" s="35"/>
      <c r="B102" s="23"/>
      <c r="C102" s="14"/>
      <c r="D102" s="14"/>
      <c r="E102" s="32"/>
      <c r="F102" s="14"/>
      <c r="G102" s="14"/>
      <c r="H102" s="49"/>
      <c r="I102" s="8"/>
      <c r="J102" s="8"/>
      <c r="Q102" s="14"/>
    </row>
    <row r="103" spans="1:17" ht="15.75" customHeight="1" x14ac:dyDescent="0.25">
      <c r="C103" s="46">
        <f>SUM(C75:C102)</f>
        <v>23634.21</v>
      </c>
      <c r="D103" s="14"/>
      <c r="E103" s="32"/>
      <c r="F103" s="14"/>
      <c r="G103" s="14"/>
      <c r="H103" s="49"/>
      <c r="I103" s="8"/>
      <c r="J103" s="8"/>
      <c r="Q103" s="14"/>
    </row>
    <row r="104" spans="1:17" ht="15.75" customHeight="1" x14ac:dyDescent="0.25">
      <c r="C104" s="14"/>
      <c r="D104" s="32"/>
      <c r="E104" s="14"/>
      <c r="F104" s="14"/>
      <c r="G104" s="49"/>
      <c r="H104" s="8"/>
      <c r="I104" s="8"/>
      <c r="P104" s="14"/>
    </row>
    <row r="105" spans="1:17" ht="15.75" customHeight="1" x14ac:dyDescent="0.25">
      <c r="C105" s="14"/>
      <c r="D105" s="32"/>
      <c r="E105" s="14"/>
      <c r="F105" s="14"/>
      <c r="G105" s="49"/>
      <c r="H105" s="8"/>
      <c r="I105" s="8"/>
      <c r="P105" s="14"/>
    </row>
    <row r="106" spans="1:17" ht="15.75" customHeight="1" x14ac:dyDescent="0.25">
      <c r="C106" s="14"/>
      <c r="D106" s="32"/>
      <c r="E106" s="14"/>
      <c r="F106" s="14"/>
      <c r="G106" s="49"/>
      <c r="H106" s="8"/>
      <c r="I106" s="8"/>
      <c r="P106" s="14"/>
    </row>
    <row r="107" spans="1:17" ht="15.75" customHeight="1" x14ac:dyDescent="0.25">
      <c r="C107" s="14"/>
      <c r="D107" s="32"/>
      <c r="E107" s="14"/>
      <c r="F107" s="14"/>
      <c r="G107" s="49"/>
      <c r="H107" s="8"/>
      <c r="I107" s="8"/>
      <c r="P107" s="14"/>
    </row>
    <row r="108" spans="1:17" ht="15.75" customHeight="1" x14ac:dyDescent="0.25">
      <c r="C108" s="14"/>
      <c r="D108" s="32"/>
      <c r="E108" s="14"/>
      <c r="F108" s="14"/>
      <c r="G108" s="49"/>
      <c r="H108" s="8"/>
      <c r="I108" s="8"/>
      <c r="P108" s="14"/>
    </row>
    <row r="109" spans="1:17" ht="15.75" customHeight="1" x14ac:dyDescent="0.25">
      <c r="C109" s="14"/>
      <c r="D109" s="32"/>
      <c r="E109" s="14"/>
      <c r="F109" s="14"/>
      <c r="G109" s="49"/>
      <c r="H109" s="8"/>
      <c r="I109" s="8"/>
      <c r="P109" s="14"/>
    </row>
    <row r="110" spans="1:17" ht="15.75" customHeight="1" x14ac:dyDescent="0.25">
      <c r="C110" s="14"/>
      <c r="D110" s="32"/>
      <c r="E110" s="14"/>
      <c r="F110" s="14"/>
      <c r="G110" s="49"/>
      <c r="H110" s="8"/>
      <c r="I110" s="8"/>
      <c r="P110" s="14"/>
    </row>
    <row r="111" spans="1:17" ht="15.75" customHeight="1" x14ac:dyDescent="0.25">
      <c r="C111" s="14"/>
      <c r="D111" s="32"/>
      <c r="E111" s="14"/>
      <c r="F111" s="14"/>
      <c r="G111" s="49"/>
      <c r="H111" s="8"/>
      <c r="I111" s="8"/>
      <c r="P111" s="14"/>
    </row>
    <row r="112" spans="1:17" ht="15.75" customHeight="1" x14ac:dyDescent="0.25">
      <c r="B112" s="22"/>
      <c r="C112" s="14"/>
      <c r="D112" s="32"/>
      <c r="E112" s="14"/>
      <c r="F112" s="14"/>
      <c r="G112" s="49"/>
      <c r="H112" s="8"/>
      <c r="I112" s="8"/>
      <c r="P112" s="14"/>
    </row>
    <row r="113" spans="2:16" ht="15.75" customHeight="1" x14ac:dyDescent="0.25">
      <c r="C113" s="14"/>
      <c r="D113" s="32"/>
      <c r="E113" s="14"/>
      <c r="F113" s="14"/>
      <c r="G113" s="49"/>
      <c r="H113" s="8"/>
      <c r="I113" s="8"/>
      <c r="P113" s="14"/>
    </row>
    <row r="114" spans="2:16" ht="15.75" customHeight="1" x14ac:dyDescent="0.25">
      <c r="C114" s="14"/>
      <c r="D114" s="32"/>
      <c r="E114" s="14"/>
      <c r="F114" s="14"/>
      <c r="G114" s="49"/>
      <c r="H114" s="8"/>
      <c r="I114" s="8"/>
      <c r="P114" s="14"/>
    </row>
    <row r="115" spans="2:16" ht="15.75" customHeight="1" x14ac:dyDescent="0.25">
      <c r="C115" s="14"/>
      <c r="D115" s="32"/>
      <c r="E115" s="14"/>
      <c r="F115" s="14"/>
      <c r="G115" s="49"/>
      <c r="H115" s="8"/>
      <c r="I115" s="8"/>
      <c r="P115" s="14"/>
    </row>
    <row r="116" spans="2:16" ht="15.75" customHeight="1" x14ac:dyDescent="0.25">
      <c r="B116" s="14"/>
      <c r="C116" s="14"/>
      <c r="D116" s="32"/>
      <c r="E116" s="14"/>
      <c r="F116" s="14"/>
      <c r="G116" s="49"/>
      <c r="H116" s="8"/>
      <c r="I116" s="8"/>
      <c r="P116" s="14"/>
    </row>
    <row r="117" spans="2:16" ht="15.75" customHeight="1" x14ac:dyDescent="0.25">
      <c r="B117" s="14"/>
      <c r="C117" s="14"/>
      <c r="D117" s="32"/>
      <c r="E117" s="14"/>
      <c r="F117" s="14"/>
      <c r="G117" s="49"/>
      <c r="H117" s="8"/>
      <c r="I117" s="8"/>
      <c r="P117" s="14"/>
    </row>
    <row r="118" spans="2:16" ht="15.75" customHeight="1" x14ac:dyDescent="0.25">
      <c r="B118" s="14"/>
      <c r="C118" s="14"/>
      <c r="D118" s="32"/>
      <c r="E118" s="14"/>
      <c r="F118" s="14"/>
      <c r="G118" s="49"/>
      <c r="H118" s="8"/>
      <c r="I118" s="8"/>
      <c r="P118" s="14"/>
    </row>
    <row r="119" spans="2:16" ht="15.75" customHeight="1" x14ac:dyDescent="0.25">
      <c r="B119" s="14"/>
      <c r="C119" s="22"/>
      <c r="H119" s="8"/>
      <c r="I119" s="8"/>
    </row>
    <row r="120" spans="2:16" ht="15.75" customHeight="1" x14ac:dyDescent="0.25">
      <c r="B120" s="14"/>
      <c r="E120" s="14"/>
    </row>
    <row r="121" spans="2:16" ht="15.75" customHeight="1" x14ac:dyDescent="0.25">
      <c r="B121" s="14"/>
    </row>
    <row r="122" spans="2:16" ht="15.75" customHeight="1" x14ac:dyDescent="0.25">
      <c r="B122" s="14"/>
      <c r="E122" s="14"/>
    </row>
    <row r="123" spans="2:16" ht="15.75" customHeight="1" x14ac:dyDescent="0.25">
      <c r="B123" s="14"/>
    </row>
    <row r="124" spans="2:16" ht="15.75" customHeight="1" x14ac:dyDescent="0.25">
      <c r="B124" s="14"/>
    </row>
    <row r="125" spans="2:16" ht="15.75" customHeight="1" x14ac:dyDescent="0.25">
      <c r="B125" s="14"/>
      <c r="C125" s="22"/>
    </row>
    <row r="126" spans="2:16" ht="15.75" customHeight="1" x14ac:dyDescent="0.25">
      <c r="B126" s="14"/>
    </row>
    <row r="127" spans="2:16" ht="15.75" customHeight="1" x14ac:dyDescent="0.25">
      <c r="B127" s="14"/>
    </row>
    <row r="128" spans="2:16" ht="15.75" customHeight="1" x14ac:dyDescent="0.25">
      <c r="B128" s="14"/>
    </row>
    <row r="129" spans="1:2" ht="15.75" customHeight="1" x14ac:dyDescent="0.25">
      <c r="B129" s="14"/>
    </row>
    <row r="130" spans="1:2" ht="15.75" customHeight="1" x14ac:dyDescent="0.25">
      <c r="A130" s="22"/>
      <c r="B130" s="14"/>
    </row>
    <row r="131" spans="1:2" ht="15.75" customHeight="1" x14ac:dyDescent="0.25">
      <c r="A131" s="22"/>
      <c r="B131" s="14"/>
    </row>
    <row r="132" spans="1:2" ht="15.75" customHeight="1" x14ac:dyDescent="0.25">
      <c r="A132" s="51"/>
      <c r="B132" s="14"/>
    </row>
    <row r="133" spans="1:2" ht="15.75" customHeight="1" x14ac:dyDescent="0.25">
      <c r="A133" s="51"/>
      <c r="B133" s="14"/>
    </row>
    <row r="134" spans="1:2" ht="15.75" customHeight="1" x14ac:dyDescent="0.25">
      <c r="A134" s="51"/>
      <c r="B134" s="14"/>
    </row>
    <row r="135" spans="1:2" ht="15.75" customHeight="1" x14ac:dyDescent="0.25">
      <c r="A135" s="51"/>
      <c r="B135" s="14"/>
    </row>
    <row r="136" spans="1:2" ht="15.75" customHeight="1" x14ac:dyDescent="0.25">
      <c r="A136" s="51"/>
      <c r="B136" s="14"/>
    </row>
    <row r="137" spans="1:2" ht="15.75" customHeight="1" x14ac:dyDescent="0.25">
      <c r="A137" s="51"/>
      <c r="B137" s="14"/>
    </row>
    <row r="138" spans="1:2" ht="15.75" customHeight="1" x14ac:dyDescent="0.25">
      <c r="A138" s="51"/>
      <c r="B138" s="14"/>
    </row>
    <row r="139" spans="1:2" ht="15.75" customHeight="1" x14ac:dyDescent="0.25">
      <c r="A139" s="51"/>
      <c r="B139" s="14"/>
    </row>
    <row r="140" spans="1:2" ht="15.75" customHeight="1" x14ac:dyDescent="0.25">
      <c r="A140" s="51"/>
      <c r="B140" s="14"/>
    </row>
    <row r="141" spans="1:2" ht="15.75" customHeight="1" x14ac:dyDescent="0.25">
      <c r="A141" s="51"/>
      <c r="B141" s="14"/>
    </row>
    <row r="142" spans="1:2" ht="15.75" customHeight="1" x14ac:dyDescent="0.25">
      <c r="A142" s="51"/>
      <c r="B142" s="14"/>
    </row>
    <row r="143" spans="1:2" ht="15.75" customHeight="1" x14ac:dyDescent="0.25">
      <c r="A143" s="51"/>
      <c r="B143" s="14"/>
    </row>
    <row r="144" spans="1:2" ht="15.75" customHeight="1" x14ac:dyDescent="0.25">
      <c r="A144" s="51"/>
    </row>
    <row r="145" spans="1:2" ht="15.75" customHeight="1" x14ac:dyDescent="0.25">
      <c r="A145" s="51"/>
      <c r="B145" s="14"/>
    </row>
    <row r="146" spans="1:2" ht="15.75" customHeight="1" x14ac:dyDescent="0.25">
      <c r="A146" s="51"/>
    </row>
    <row r="147" spans="1:2" ht="15.75" customHeight="1" x14ac:dyDescent="0.25">
      <c r="A147" s="51"/>
    </row>
    <row r="148" spans="1:2" ht="15.75" customHeight="1" x14ac:dyDescent="0.25"/>
    <row r="149" spans="1:2" ht="15.75" customHeight="1" x14ac:dyDescent="0.25"/>
    <row r="150" spans="1:2" ht="15.75" customHeight="1" x14ac:dyDescent="0.25"/>
    <row r="151" spans="1:2" ht="15.75" customHeight="1" x14ac:dyDescent="0.25"/>
    <row r="152" spans="1:2" ht="15.75" customHeight="1" x14ac:dyDescent="0.25"/>
    <row r="153" spans="1:2" ht="15.75" customHeight="1" x14ac:dyDescent="0.25"/>
    <row r="154" spans="1:2" ht="15.75" customHeight="1" x14ac:dyDescent="0.25"/>
    <row r="155" spans="1:2" ht="15.75" customHeight="1" x14ac:dyDescent="0.25"/>
    <row r="156" spans="1:2" ht="15.75" customHeight="1" x14ac:dyDescent="0.25"/>
    <row r="157" spans="1:2" ht="15.75" customHeight="1" x14ac:dyDescent="0.25"/>
    <row r="158" spans="1:2" ht="15.75" customHeight="1" x14ac:dyDescent="0.25"/>
    <row r="159" spans="1:2" ht="15.75" customHeight="1" x14ac:dyDescent="0.25"/>
    <row r="160" spans="1:2" ht="15.75" customHeight="1" x14ac:dyDescent="0.25"/>
    <row r="161" spans="1:1" ht="15.75" customHeight="1" x14ac:dyDescent="0.25">
      <c r="A161" s="51"/>
    </row>
    <row r="162" spans="1:1" ht="15.75" customHeight="1" x14ac:dyDescent="0.25"/>
    <row r="163" spans="1:1" ht="15.75" customHeight="1" x14ac:dyDescent="0.25"/>
    <row r="164" spans="1:1" ht="15.75" customHeight="1" x14ac:dyDescent="0.25"/>
    <row r="165" spans="1:1" ht="15.75" customHeight="1" x14ac:dyDescent="0.25"/>
    <row r="166" spans="1:1" ht="15.75" customHeight="1" x14ac:dyDescent="0.25"/>
    <row r="167" spans="1:1" ht="15.75" customHeight="1" x14ac:dyDescent="0.25"/>
    <row r="168" spans="1:1" ht="15.75" customHeight="1" x14ac:dyDescent="0.25"/>
    <row r="169" spans="1:1" ht="15.75" customHeight="1" x14ac:dyDescent="0.25"/>
    <row r="170" spans="1:1" ht="15.75" customHeight="1" x14ac:dyDescent="0.25"/>
    <row r="171" spans="1:1" ht="15.75" customHeight="1" x14ac:dyDescent="0.25"/>
    <row r="172" spans="1:1" ht="15.75" customHeight="1" x14ac:dyDescent="0.25"/>
    <row r="173" spans="1:1" ht="15.75" customHeight="1" x14ac:dyDescent="0.25"/>
    <row r="174" spans="1:1" ht="15.75" customHeight="1" x14ac:dyDescent="0.25"/>
    <row r="175" spans="1:1" ht="15.75" customHeight="1" x14ac:dyDescent="0.25"/>
    <row r="176" spans="1:1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mergeCells count="4">
    <mergeCell ref="A9:A10"/>
    <mergeCell ref="B74:C74"/>
    <mergeCell ref="D74:E74"/>
    <mergeCell ref="F80:G80"/>
  </mergeCells>
  <printOptions gridLines="1"/>
  <pageMargins left="0.7" right="0.7" top="0.75" bottom="0.75" header="0" footer="0"/>
  <pageSetup orientation="landscape"/>
  <rowBreaks count="2" manualBreakCount="2">
    <brk id="36" man="1"/>
    <brk id="7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996"/>
  <sheetViews>
    <sheetView workbookViewId="0"/>
  </sheetViews>
  <sheetFormatPr defaultColWidth="14.42578125" defaultRowHeight="15" customHeight="1" x14ac:dyDescent="0.25"/>
  <cols>
    <col min="1" max="1" width="16.7109375" customWidth="1"/>
    <col min="3" max="3" width="16" customWidth="1"/>
    <col min="4" max="4" width="16.140625" customWidth="1"/>
    <col min="5" max="5" width="16.7109375" customWidth="1"/>
    <col min="6" max="6" width="13.28515625" customWidth="1"/>
    <col min="7" max="7" width="14.5703125" customWidth="1"/>
    <col min="9" max="14" width="14.140625" customWidth="1"/>
    <col min="15" max="15" width="12.85546875" customWidth="1"/>
    <col min="16" max="16" width="12.5703125" customWidth="1"/>
    <col min="17" max="17" width="8.7109375" customWidth="1"/>
    <col min="18" max="18" width="13.42578125" customWidth="1"/>
    <col min="19" max="31" width="8.7109375" customWidth="1"/>
  </cols>
  <sheetData>
    <row r="1" spans="1:31" x14ac:dyDescent="0.25">
      <c r="A1" s="1" t="s">
        <v>112</v>
      </c>
      <c r="B1" s="1"/>
      <c r="C1" s="1"/>
      <c r="D1" s="1"/>
      <c r="E1" s="1"/>
      <c r="F1" s="1"/>
      <c r="G1" s="1"/>
    </row>
    <row r="2" spans="1:31" x14ac:dyDescent="0.2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ht="26.25" x14ac:dyDescent="0.25">
      <c r="A3" s="6" t="s">
        <v>14</v>
      </c>
      <c r="B3" s="6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7" t="s">
        <v>23</v>
      </c>
      <c r="K3" s="7" t="s">
        <v>24</v>
      </c>
      <c r="L3" s="7" t="s">
        <v>25</v>
      </c>
      <c r="M3" s="7" t="s">
        <v>26</v>
      </c>
      <c r="N3" s="7" t="s">
        <v>27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x14ac:dyDescent="0.25">
      <c r="A4" s="8" t="s">
        <v>28</v>
      </c>
      <c r="B4" s="9">
        <v>42836.840000000026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>
        <v>42836.840000000026</v>
      </c>
      <c r="N4" s="10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x14ac:dyDescent="0.25">
      <c r="A5" s="8" t="s">
        <v>78</v>
      </c>
      <c r="B5" s="9">
        <v>2734107.8499999996</v>
      </c>
      <c r="C5" s="12">
        <v>677864.54</v>
      </c>
      <c r="D5" s="12">
        <v>623142.23999999987</v>
      </c>
      <c r="E5" s="12">
        <v>787380.26</v>
      </c>
      <c r="F5" s="12">
        <v>69052.510000000009</v>
      </c>
      <c r="G5" s="10">
        <v>0</v>
      </c>
      <c r="H5" s="10">
        <v>0</v>
      </c>
      <c r="I5" s="10">
        <v>108173.82</v>
      </c>
      <c r="J5" s="10">
        <v>249535.26</v>
      </c>
      <c r="K5" s="10">
        <v>54245.09</v>
      </c>
      <c r="L5" s="10">
        <v>144838.37</v>
      </c>
      <c r="M5" s="10"/>
      <c r="N5" s="10">
        <v>19875.759999999998</v>
      </c>
      <c r="O5" s="13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x14ac:dyDescent="0.25">
      <c r="A6" s="8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4"/>
      <c r="AA6" s="5"/>
      <c r="AB6" s="5"/>
    </row>
    <row r="7" spans="1:31" x14ac:dyDescent="0.25">
      <c r="A7" s="1" t="s">
        <v>32</v>
      </c>
      <c r="B7" s="15">
        <f t="shared" ref="B7:N7" si="0">SUM(B4:B6)</f>
        <v>2776944.6899999995</v>
      </c>
      <c r="C7" s="15">
        <f t="shared" si="0"/>
        <v>677864.54</v>
      </c>
      <c r="D7" s="15">
        <f t="shared" si="0"/>
        <v>623142.23999999987</v>
      </c>
      <c r="E7" s="15">
        <f t="shared" si="0"/>
        <v>787380.26</v>
      </c>
      <c r="F7" s="15">
        <f t="shared" si="0"/>
        <v>69052.510000000009</v>
      </c>
      <c r="G7" s="15">
        <f t="shared" si="0"/>
        <v>0</v>
      </c>
      <c r="H7" s="15">
        <f t="shared" si="0"/>
        <v>0</v>
      </c>
      <c r="I7" s="15">
        <f t="shared" si="0"/>
        <v>108173.82</v>
      </c>
      <c r="J7" s="15">
        <f t="shared" si="0"/>
        <v>249535.26</v>
      </c>
      <c r="K7" s="15">
        <f t="shared" si="0"/>
        <v>54245.09</v>
      </c>
      <c r="L7" s="15">
        <f t="shared" si="0"/>
        <v>144838.37</v>
      </c>
      <c r="M7" s="15">
        <f t="shared" si="0"/>
        <v>42836.840000000026</v>
      </c>
      <c r="N7" s="15">
        <f t="shared" si="0"/>
        <v>19875.759999999998</v>
      </c>
      <c r="AA7" s="5"/>
      <c r="AB7" s="5"/>
    </row>
    <row r="8" spans="1:31" x14ac:dyDescent="0.25">
      <c r="A8" s="1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4"/>
      <c r="AA8" s="5"/>
      <c r="AB8" s="5"/>
    </row>
    <row r="9" spans="1:31" x14ac:dyDescent="0.25">
      <c r="A9" s="67" t="s">
        <v>33</v>
      </c>
      <c r="B9" s="16"/>
      <c r="C9" s="17" t="s">
        <v>3</v>
      </c>
      <c r="D9" s="17" t="s">
        <v>4</v>
      </c>
      <c r="E9" s="17" t="s">
        <v>5</v>
      </c>
      <c r="F9" s="17" t="s">
        <v>6</v>
      </c>
      <c r="G9" s="17" t="s">
        <v>34</v>
      </c>
      <c r="H9" s="17" t="s">
        <v>35</v>
      </c>
      <c r="I9" s="17" t="s">
        <v>8</v>
      </c>
      <c r="J9" s="17" t="s">
        <v>36</v>
      </c>
      <c r="K9" s="17" t="s">
        <v>37</v>
      </c>
      <c r="L9" s="17" t="s">
        <v>38</v>
      </c>
      <c r="M9" s="17" t="s">
        <v>12</v>
      </c>
      <c r="N9" s="17" t="s">
        <v>13</v>
      </c>
      <c r="AA9" s="5"/>
      <c r="AB9" s="5"/>
    </row>
    <row r="10" spans="1:31" x14ac:dyDescent="0.25">
      <c r="A10" s="68"/>
      <c r="B10" s="16">
        <f>SUM(C10:N10)</f>
        <v>2776944.6899999995</v>
      </c>
      <c r="C10" s="18">
        <f t="shared" ref="C10:N10" si="1">C7</f>
        <v>677864.54</v>
      </c>
      <c r="D10" s="18">
        <f t="shared" si="1"/>
        <v>623142.23999999987</v>
      </c>
      <c r="E10" s="18">
        <f t="shared" si="1"/>
        <v>787380.26</v>
      </c>
      <c r="F10" s="18">
        <f t="shared" si="1"/>
        <v>69052.510000000009</v>
      </c>
      <c r="G10" s="18">
        <f t="shared" si="1"/>
        <v>0</v>
      </c>
      <c r="H10" s="18">
        <f t="shared" si="1"/>
        <v>0</v>
      </c>
      <c r="I10" s="18">
        <f t="shared" si="1"/>
        <v>108173.82</v>
      </c>
      <c r="J10" s="18">
        <f t="shared" si="1"/>
        <v>249535.26</v>
      </c>
      <c r="K10" s="18">
        <f t="shared" si="1"/>
        <v>54245.09</v>
      </c>
      <c r="L10" s="18">
        <f t="shared" si="1"/>
        <v>144838.37</v>
      </c>
      <c r="M10" s="18">
        <f t="shared" si="1"/>
        <v>42836.840000000026</v>
      </c>
      <c r="N10" s="18">
        <f t="shared" si="1"/>
        <v>19875.759999999998</v>
      </c>
      <c r="O10" s="14"/>
      <c r="AA10" s="5"/>
      <c r="AB10" s="5"/>
    </row>
    <row r="11" spans="1:31" x14ac:dyDescent="0.25">
      <c r="A11" s="19" t="s">
        <v>39</v>
      </c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AA11" s="5"/>
      <c r="AB11" s="5"/>
    </row>
    <row r="12" spans="1:31" x14ac:dyDescent="0.25">
      <c r="A12" s="21" t="s">
        <v>113</v>
      </c>
      <c r="B12" s="10"/>
      <c r="C12" s="10">
        <v>13084.45</v>
      </c>
      <c r="D12" s="10">
        <v>2975</v>
      </c>
      <c r="E12" s="10">
        <v>35788.589999999997</v>
      </c>
      <c r="F12" s="10"/>
      <c r="G12" s="10"/>
      <c r="H12" s="10"/>
      <c r="I12" s="10"/>
      <c r="J12" s="10"/>
      <c r="K12" s="10"/>
      <c r="L12" s="10">
        <v>588.83000000000004</v>
      </c>
      <c r="M12" s="10">
        <v>524.55999999999995</v>
      </c>
      <c r="N12" s="10"/>
      <c r="O12" s="14"/>
      <c r="AA12" s="5"/>
      <c r="AB12" s="5"/>
    </row>
    <row r="13" spans="1:31" x14ac:dyDescent="0.25">
      <c r="A13" s="20" t="s">
        <v>41</v>
      </c>
      <c r="B13" s="10"/>
      <c r="C13" s="10"/>
      <c r="D13" s="10"/>
      <c r="E13" s="10"/>
      <c r="F13" s="10"/>
      <c r="AA13" s="5"/>
      <c r="AB13" s="5"/>
    </row>
    <row r="14" spans="1:31" x14ac:dyDescent="0.25">
      <c r="A14" s="21" t="s">
        <v>42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4"/>
      <c r="AA14" s="5"/>
      <c r="AB14" s="5"/>
    </row>
    <row r="15" spans="1:31" x14ac:dyDescent="0.25">
      <c r="A15" s="21" t="s">
        <v>43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22"/>
      <c r="P15" s="22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5"/>
      <c r="AB15" s="5"/>
      <c r="AC15" s="23"/>
      <c r="AD15" s="23"/>
      <c r="AE15" s="23"/>
    </row>
    <row r="16" spans="1:31" x14ac:dyDescent="0.25">
      <c r="A16" s="21" t="s">
        <v>44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22"/>
      <c r="P16" s="22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5"/>
      <c r="AB16" s="5"/>
      <c r="AC16" s="23"/>
      <c r="AD16" s="23"/>
      <c r="AE16" s="23"/>
    </row>
    <row r="17" spans="1:29" x14ac:dyDescent="0.25">
      <c r="A17" s="21" t="s">
        <v>45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AA17" s="5"/>
      <c r="AB17" s="5"/>
    </row>
    <row r="18" spans="1:29" x14ac:dyDescent="0.25">
      <c r="A18" s="21" t="s">
        <v>46</v>
      </c>
      <c r="B18" s="10"/>
      <c r="C18" s="10"/>
      <c r="D18" s="10"/>
      <c r="E18" s="10"/>
      <c r="G18" s="10"/>
      <c r="H18" s="10"/>
      <c r="I18" s="10"/>
      <c r="J18" s="10"/>
      <c r="K18" s="10"/>
      <c r="L18" s="10"/>
      <c r="M18" s="10"/>
      <c r="N18" s="10"/>
      <c r="AA18" s="5"/>
      <c r="AB18" s="5"/>
    </row>
    <row r="19" spans="1:29" ht="15.75" customHeight="1" x14ac:dyDescent="0.25">
      <c r="A19" s="21" t="s">
        <v>47</v>
      </c>
      <c r="B19" s="10"/>
      <c r="C19" s="10"/>
      <c r="D19" s="10"/>
      <c r="E19" s="10"/>
      <c r="F19" s="10"/>
      <c r="H19" s="24"/>
      <c r="I19" s="24"/>
      <c r="J19" s="10"/>
      <c r="K19" s="10"/>
      <c r="L19" s="10"/>
      <c r="M19" s="10"/>
      <c r="N19" s="10"/>
      <c r="O19" s="25"/>
      <c r="P19" s="25"/>
      <c r="Q19" s="25"/>
      <c r="AA19" s="5"/>
      <c r="AB19" s="5"/>
    </row>
    <row r="20" spans="1:29" ht="15.75" customHeight="1" x14ac:dyDescent="0.25">
      <c r="A20" s="1" t="s">
        <v>48</v>
      </c>
      <c r="B20" s="26">
        <f t="shared" ref="B20:B22" si="2">SUM(C20:N20)</f>
        <v>52961.429999999993</v>
      </c>
      <c r="C20" s="9">
        <f t="shared" ref="C20:N20" si="3">SUM(C12:C19)</f>
        <v>13084.45</v>
      </c>
      <c r="D20" s="9">
        <f t="shared" si="3"/>
        <v>2975</v>
      </c>
      <c r="E20" s="9">
        <f t="shared" si="3"/>
        <v>35788.589999999997</v>
      </c>
      <c r="F20" s="9">
        <f t="shared" si="3"/>
        <v>0</v>
      </c>
      <c r="G20" s="9">
        <f t="shared" si="3"/>
        <v>0</v>
      </c>
      <c r="H20" s="9">
        <f t="shared" si="3"/>
        <v>0</v>
      </c>
      <c r="I20" s="9">
        <f t="shared" si="3"/>
        <v>0</v>
      </c>
      <c r="J20" s="9">
        <f t="shared" si="3"/>
        <v>0</v>
      </c>
      <c r="K20" s="9">
        <f t="shared" si="3"/>
        <v>0</v>
      </c>
      <c r="L20" s="9">
        <f t="shared" si="3"/>
        <v>588.83000000000004</v>
      </c>
      <c r="M20" s="9">
        <f t="shared" si="3"/>
        <v>524.55999999999995</v>
      </c>
      <c r="N20" s="9">
        <f t="shared" si="3"/>
        <v>0</v>
      </c>
      <c r="O20" s="10"/>
      <c r="P20" s="10"/>
      <c r="Q20" s="10"/>
      <c r="AA20" s="5"/>
      <c r="AB20" s="5"/>
    </row>
    <row r="21" spans="1:29" ht="15.75" customHeight="1" x14ac:dyDescent="0.25">
      <c r="A21" s="1" t="s">
        <v>49</v>
      </c>
      <c r="B21" s="26">
        <f t="shared" si="2"/>
        <v>8379.8200000000015</v>
      </c>
      <c r="C21" s="10">
        <v>2065.9</v>
      </c>
      <c r="D21" s="10">
        <v>1913.2</v>
      </c>
      <c r="E21" s="10">
        <v>2418.19</v>
      </c>
      <c r="F21" s="10">
        <v>212.01</v>
      </c>
      <c r="G21" s="21"/>
      <c r="H21" s="21"/>
      <c r="I21" s="21">
        <v>332.12</v>
      </c>
      <c r="J21" s="21">
        <v>766.14</v>
      </c>
      <c r="K21" s="21">
        <v>227.57</v>
      </c>
      <c r="L21" s="21">
        <v>444.69</v>
      </c>
      <c r="M21" s="21"/>
      <c r="N21" s="21"/>
      <c r="O21" s="10"/>
      <c r="P21" s="10"/>
      <c r="Q21" s="10"/>
      <c r="AA21" s="5"/>
      <c r="AB21" s="5"/>
    </row>
    <row r="22" spans="1:29" ht="15.75" customHeight="1" x14ac:dyDescent="0.25">
      <c r="A22" s="1" t="s">
        <v>50</v>
      </c>
      <c r="B22" s="26">
        <f t="shared" si="2"/>
        <v>52417.52</v>
      </c>
      <c r="C22" s="10">
        <v>21898.58</v>
      </c>
      <c r="D22" s="10">
        <v>9030.2999999999993</v>
      </c>
      <c r="E22" s="10">
        <v>15138.51</v>
      </c>
      <c r="F22" s="10">
        <v>6350.13</v>
      </c>
      <c r="G22" s="10"/>
      <c r="H22" s="10"/>
      <c r="I22" s="10"/>
      <c r="J22" s="10"/>
      <c r="K22" s="10"/>
      <c r="L22" s="10"/>
      <c r="M22" s="10"/>
      <c r="N22" s="10"/>
      <c r="O22" s="14"/>
      <c r="P22" s="14"/>
      <c r="Q22" s="14"/>
      <c r="R22" s="14"/>
      <c r="AA22" s="5"/>
      <c r="AB22" s="5"/>
    </row>
    <row r="23" spans="1:29" ht="15.75" customHeight="1" x14ac:dyDescent="0.25">
      <c r="A23" s="1" t="s">
        <v>114</v>
      </c>
      <c r="B23" s="9">
        <f>C23+D23+E23+F23+I23</f>
        <v>19.12</v>
      </c>
      <c r="C23" s="10">
        <v>19.12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4"/>
      <c r="P23" s="14"/>
      <c r="Q23" s="14"/>
      <c r="R23" s="14"/>
      <c r="AA23" s="5"/>
      <c r="AB23" s="5"/>
    </row>
    <row r="24" spans="1:29" ht="15.75" customHeight="1" x14ac:dyDescent="0.25">
      <c r="A24" s="1" t="s">
        <v>46</v>
      </c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4"/>
      <c r="P24" s="14"/>
      <c r="Q24" s="14"/>
      <c r="R24" s="14"/>
      <c r="AA24" s="5"/>
      <c r="AB24" s="5"/>
    </row>
    <row r="25" spans="1:29" ht="15.75" customHeight="1" x14ac:dyDescent="0.25">
      <c r="A25" s="1" t="s">
        <v>52</v>
      </c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R25" s="14"/>
      <c r="AA25" s="5"/>
    </row>
    <row r="26" spans="1:29" ht="15.75" customHeight="1" x14ac:dyDescent="0.25">
      <c r="A26" s="1" t="s">
        <v>53</v>
      </c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R26" s="14"/>
      <c r="AA26" s="5"/>
    </row>
    <row r="27" spans="1:29" ht="15.75" customHeight="1" x14ac:dyDescent="0.25">
      <c r="A27" s="1" t="s">
        <v>54</v>
      </c>
      <c r="B27" s="9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R27" s="14"/>
      <c r="AA27" s="5"/>
    </row>
    <row r="28" spans="1:29" ht="15.75" customHeight="1" x14ac:dyDescent="0.25">
      <c r="A28" s="1" t="s">
        <v>47</v>
      </c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R28" s="14"/>
      <c r="AC28" s="27"/>
    </row>
    <row r="29" spans="1:29" ht="15.75" customHeight="1" x14ac:dyDescent="0.25">
      <c r="A29" s="1" t="s">
        <v>55</v>
      </c>
      <c r="B29" s="26">
        <f>SUM(C29:N29)</f>
        <v>52436.639999999999</v>
      </c>
      <c r="C29" s="10">
        <f t="shared" ref="C29:N29" si="4">SUM(C22:C28)</f>
        <v>21917.7</v>
      </c>
      <c r="D29" s="10">
        <f t="shared" si="4"/>
        <v>9030.2999999999993</v>
      </c>
      <c r="E29" s="10">
        <f t="shared" si="4"/>
        <v>15138.51</v>
      </c>
      <c r="F29" s="10">
        <f t="shared" si="4"/>
        <v>6350.13</v>
      </c>
      <c r="G29" s="10">
        <f t="shared" si="4"/>
        <v>0</v>
      </c>
      <c r="H29" s="10">
        <f t="shared" si="4"/>
        <v>0</v>
      </c>
      <c r="I29" s="10">
        <f t="shared" si="4"/>
        <v>0</v>
      </c>
      <c r="J29" s="10">
        <f t="shared" si="4"/>
        <v>0</v>
      </c>
      <c r="K29" s="10">
        <f t="shared" si="4"/>
        <v>0</v>
      </c>
      <c r="L29" s="10">
        <f t="shared" si="4"/>
        <v>0</v>
      </c>
      <c r="M29" s="10">
        <f t="shared" si="4"/>
        <v>0</v>
      </c>
      <c r="N29" s="10">
        <f t="shared" si="4"/>
        <v>0</v>
      </c>
      <c r="R29" s="14"/>
    </row>
    <row r="30" spans="1:29" ht="15.75" customHeight="1" x14ac:dyDescent="0.25">
      <c r="A30" s="1" t="s">
        <v>56</v>
      </c>
      <c r="B30" s="26">
        <f>C30+E30+D30</f>
        <v>15251.43</v>
      </c>
      <c r="C30" s="10">
        <v>5793.63</v>
      </c>
      <c r="D30" s="10">
        <v>853.2</v>
      </c>
      <c r="E30" s="10">
        <v>8604.6</v>
      </c>
      <c r="F30" s="10"/>
      <c r="H30" s="25"/>
      <c r="I30" s="25"/>
      <c r="J30" s="25"/>
      <c r="K30" s="25"/>
      <c r="L30" s="25"/>
      <c r="M30" s="25"/>
      <c r="N30" s="25"/>
    </row>
    <row r="31" spans="1:29" ht="15.75" customHeight="1" x14ac:dyDescent="0.25">
      <c r="A31" s="1" t="s">
        <v>56</v>
      </c>
      <c r="B31" s="26">
        <f t="shared" ref="B31:B33" si="5">SUM(C31:G31)</f>
        <v>27044.199999999997</v>
      </c>
      <c r="C31" s="10">
        <v>18753.689999999999</v>
      </c>
      <c r="D31" s="10">
        <v>1232.27</v>
      </c>
      <c r="E31" s="10">
        <v>7058.24</v>
      </c>
    </row>
    <row r="32" spans="1:29" ht="15.75" customHeight="1" x14ac:dyDescent="0.25">
      <c r="A32" s="1" t="s">
        <v>56</v>
      </c>
      <c r="B32" s="26">
        <f t="shared" si="5"/>
        <v>0</v>
      </c>
      <c r="C32" s="10"/>
      <c r="D32" s="10"/>
      <c r="E32" s="10"/>
    </row>
    <row r="33" spans="1:15" ht="15.75" customHeight="1" x14ac:dyDescent="0.25">
      <c r="A33" s="1" t="s">
        <v>56</v>
      </c>
      <c r="B33" s="26">
        <f t="shared" si="5"/>
        <v>0</v>
      </c>
      <c r="C33" s="10"/>
      <c r="D33" s="10"/>
      <c r="E33" s="10"/>
    </row>
    <row r="34" spans="1:15" ht="15.75" customHeight="1" x14ac:dyDescent="0.25">
      <c r="A34" s="1" t="s">
        <v>57</v>
      </c>
      <c r="B34" s="15">
        <f t="shared" ref="B34:B35" si="6">SUM(C34:N34)</f>
        <v>2743319.77</v>
      </c>
      <c r="C34" s="12">
        <f t="shared" ref="C34:E34" si="7">C10+C20+C21-C31-C29-C30-C32-C33</f>
        <v>646549.87000000011</v>
      </c>
      <c r="D34" s="12">
        <f t="shared" si="7"/>
        <v>616914.66999999981</v>
      </c>
      <c r="E34" s="12">
        <f t="shared" si="7"/>
        <v>794785.69</v>
      </c>
      <c r="F34" s="12">
        <f>F10+F20+F21-F29-F30-F31-F32</f>
        <v>62914.390000000007</v>
      </c>
      <c r="G34" s="12">
        <f t="shared" ref="G34:L34" si="8">G10+G20+G21-G31-G29-G30-G32</f>
        <v>0</v>
      </c>
      <c r="H34" s="12">
        <f t="shared" si="8"/>
        <v>0</v>
      </c>
      <c r="I34" s="12">
        <f t="shared" si="8"/>
        <v>108505.94</v>
      </c>
      <c r="J34" s="12">
        <f t="shared" si="8"/>
        <v>250301.40000000002</v>
      </c>
      <c r="K34" s="12">
        <f t="shared" si="8"/>
        <v>54472.659999999996</v>
      </c>
      <c r="L34" s="12">
        <f t="shared" si="8"/>
        <v>145871.88999999998</v>
      </c>
      <c r="M34" s="12">
        <f>B57-M29</f>
        <v>43127.500000000029</v>
      </c>
      <c r="N34" s="12">
        <f>N10+N20+N21-N31-N29-N30-N32</f>
        <v>19875.759999999998</v>
      </c>
    </row>
    <row r="35" spans="1:15" ht="15.75" customHeight="1" x14ac:dyDescent="0.25">
      <c r="A35" s="1" t="s">
        <v>115</v>
      </c>
      <c r="B35" s="9">
        <f t="shared" si="6"/>
        <v>2789589.09</v>
      </c>
      <c r="C35" s="12">
        <f>275101.44+9091.86+379267.6</f>
        <v>663460.89999999991</v>
      </c>
      <c r="D35" s="12">
        <f>292598.24+184435.27+148911.46</f>
        <v>625944.97</v>
      </c>
      <c r="E35" s="12">
        <f>238491.42+28592.54+543079.3</f>
        <v>810163.26</v>
      </c>
      <c r="F35" s="12">
        <f>13665.43+55599.09</f>
        <v>69264.51999999999</v>
      </c>
      <c r="G35" s="12">
        <v>0</v>
      </c>
      <c r="H35" s="12">
        <v>0</v>
      </c>
      <c r="I35" s="12">
        <f>107169.72+1336.22</f>
        <v>108505.94</v>
      </c>
      <c r="J35" s="12">
        <f>249535.26+766.14</f>
        <v>250301.40000000002</v>
      </c>
      <c r="K35" s="12">
        <f>45108.28+9364.38</f>
        <v>54472.659999999996</v>
      </c>
      <c r="L35" s="12">
        <f>3498.18+46973+95400.71</f>
        <v>145871.89000000001</v>
      </c>
      <c r="M35" s="12">
        <v>41727.79</v>
      </c>
      <c r="N35" s="12">
        <v>19875.759999999998</v>
      </c>
    </row>
    <row r="36" spans="1:15" ht="15.75" customHeight="1" x14ac:dyDescent="0.25">
      <c r="A36" s="1" t="s">
        <v>59</v>
      </c>
      <c r="B36" s="9">
        <f t="shared" ref="B36:N36" si="9">B35-B34</f>
        <v>46269.319999999832</v>
      </c>
      <c r="C36" s="9">
        <f t="shared" si="9"/>
        <v>16911.029999999795</v>
      </c>
      <c r="D36" s="9">
        <f t="shared" si="9"/>
        <v>9030.300000000163</v>
      </c>
      <c r="E36" s="9">
        <f t="shared" si="9"/>
        <v>15377.570000000065</v>
      </c>
      <c r="F36" s="9">
        <f t="shared" si="9"/>
        <v>6350.1299999999828</v>
      </c>
      <c r="G36" s="9">
        <f t="shared" si="9"/>
        <v>0</v>
      </c>
      <c r="H36" s="9">
        <f t="shared" si="9"/>
        <v>0</v>
      </c>
      <c r="I36" s="9">
        <f t="shared" si="9"/>
        <v>0</v>
      </c>
      <c r="J36" s="9">
        <f t="shared" si="9"/>
        <v>0</v>
      </c>
      <c r="K36" s="9">
        <f t="shared" si="9"/>
        <v>0</v>
      </c>
      <c r="L36" s="9">
        <f t="shared" si="9"/>
        <v>0</v>
      </c>
      <c r="M36" s="9">
        <f t="shared" si="9"/>
        <v>-1399.7100000000282</v>
      </c>
      <c r="N36" s="9">
        <f t="shared" si="9"/>
        <v>0</v>
      </c>
      <c r="O36" s="12"/>
    </row>
    <row r="37" spans="1:15" ht="15.75" customHeight="1" x14ac:dyDescent="0.25">
      <c r="A37" s="28"/>
      <c r="B37" s="16"/>
      <c r="C37" s="17"/>
      <c r="D37" s="17"/>
      <c r="E37" s="17"/>
      <c r="F37" s="17"/>
      <c r="G37" s="17" t="s">
        <v>60</v>
      </c>
      <c r="H37" s="17"/>
      <c r="I37" s="17"/>
      <c r="J37" s="17"/>
      <c r="K37" s="17"/>
      <c r="L37" s="17"/>
      <c r="M37" s="17"/>
      <c r="N37" s="17"/>
    </row>
    <row r="38" spans="1:15" ht="15.75" customHeight="1" x14ac:dyDescent="0.25">
      <c r="A38" s="29" t="s">
        <v>61</v>
      </c>
      <c r="B38" s="16">
        <f>M7</f>
        <v>42836.840000000026</v>
      </c>
      <c r="C38" s="17" t="s">
        <v>3</v>
      </c>
      <c r="D38" s="17" t="s">
        <v>4</v>
      </c>
      <c r="E38" s="17" t="s">
        <v>5</v>
      </c>
      <c r="F38" s="17" t="s">
        <v>6</v>
      </c>
      <c r="G38" s="17" t="s">
        <v>34</v>
      </c>
      <c r="H38" s="17" t="s">
        <v>35</v>
      </c>
      <c r="I38" s="17" t="s">
        <v>8</v>
      </c>
      <c r="J38" s="17" t="s">
        <v>36</v>
      </c>
      <c r="K38" s="17" t="s">
        <v>37</v>
      </c>
      <c r="L38" s="17" t="s">
        <v>38</v>
      </c>
      <c r="M38" s="17" t="s">
        <v>12</v>
      </c>
      <c r="N38" s="17" t="s">
        <v>13</v>
      </c>
    </row>
    <row r="39" spans="1:15" ht="15.75" customHeight="1" x14ac:dyDescent="0.25">
      <c r="A39" s="19" t="s">
        <v>62</v>
      </c>
      <c r="B39" s="10">
        <f>C39+E39+D39</f>
        <v>15251.43</v>
      </c>
      <c r="C39" s="10">
        <v>5793.63</v>
      </c>
      <c r="D39" s="10">
        <v>853.2</v>
      </c>
      <c r="E39" s="10">
        <v>8604.6</v>
      </c>
      <c r="F39" s="10"/>
      <c r="H39" s="25"/>
      <c r="I39" s="25"/>
      <c r="J39" s="25"/>
      <c r="K39" s="25"/>
      <c r="L39" s="25"/>
      <c r="M39" s="25"/>
      <c r="N39" s="25"/>
    </row>
    <row r="40" spans="1:15" ht="15.75" customHeight="1" x14ac:dyDescent="0.25">
      <c r="A40" s="10"/>
      <c r="B40" s="10">
        <f t="shared" ref="B40:B43" si="10">C40+D40+E40</f>
        <v>27044.199999999997</v>
      </c>
      <c r="C40" s="10">
        <v>18753.689999999999</v>
      </c>
      <c r="D40" s="10">
        <v>1232.27</v>
      </c>
      <c r="E40" s="10">
        <v>7058.24</v>
      </c>
      <c r="H40" s="25"/>
      <c r="I40" s="25"/>
      <c r="J40" s="25"/>
      <c r="K40" s="25"/>
      <c r="L40" s="25"/>
      <c r="M40" s="25"/>
      <c r="N40" s="25"/>
    </row>
    <row r="41" spans="1:15" ht="15.75" customHeight="1" x14ac:dyDescent="0.25">
      <c r="A41" s="21"/>
      <c r="B41" s="10">
        <f t="shared" si="10"/>
        <v>0</v>
      </c>
      <c r="C41" s="10"/>
      <c r="D41" s="10"/>
      <c r="E41" s="10"/>
      <c r="H41" s="25"/>
      <c r="I41" s="25"/>
      <c r="J41" s="25"/>
      <c r="K41" s="25"/>
      <c r="L41" s="25"/>
      <c r="M41" s="25"/>
      <c r="N41" s="25"/>
    </row>
    <row r="42" spans="1:15" ht="15.75" customHeight="1" x14ac:dyDescent="0.25">
      <c r="A42" s="21"/>
      <c r="B42" s="10">
        <f t="shared" si="10"/>
        <v>0</v>
      </c>
      <c r="C42" s="10"/>
      <c r="D42" s="10"/>
      <c r="E42" s="10"/>
      <c r="F42" s="10"/>
      <c r="H42" s="21"/>
      <c r="I42" s="21"/>
      <c r="J42" s="21"/>
      <c r="K42" s="21"/>
      <c r="L42" s="21"/>
      <c r="M42" s="21"/>
      <c r="N42" s="21"/>
    </row>
    <row r="43" spans="1:15" ht="15.75" customHeight="1" x14ac:dyDescent="0.25">
      <c r="A43" s="21"/>
      <c r="B43" s="10">
        <f t="shared" si="10"/>
        <v>0</v>
      </c>
      <c r="C43" s="10"/>
      <c r="D43" s="10"/>
      <c r="E43" s="10"/>
      <c r="F43" s="10"/>
      <c r="H43" s="21"/>
      <c r="I43" s="21"/>
      <c r="J43" s="21"/>
      <c r="K43" s="21"/>
      <c r="L43" s="21"/>
      <c r="M43" s="21"/>
      <c r="N43" s="21"/>
    </row>
    <row r="44" spans="1:15" ht="15.75" customHeight="1" x14ac:dyDescent="0.25">
      <c r="A44" s="1" t="s">
        <v>63</v>
      </c>
      <c r="B44" s="26">
        <f t="shared" ref="B44:B45" si="11">M44</f>
        <v>42295.630000000005</v>
      </c>
      <c r="C44" s="10">
        <f t="shared" ref="C44:L44" si="12">SUM(C39:C43)</f>
        <v>24547.32</v>
      </c>
      <c r="D44" s="10">
        <f t="shared" si="12"/>
        <v>2085.4700000000003</v>
      </c>
      <c r="E44" s="10">
        <f t="shared" si="12"/>
        <v>15662.84</v>
      </c>
      <c r="F44" s="10">
        <f t="shared" si="12"/>
        <v>0</v>
      </c>
      <c r="G44" s="10">
        <f t="shared" si="12"/>
        <v>0</v>
      </c>
      <c r="H44" s="10">
        <f t="shared" si="12"/>
        <v>0</v>
      </c>
      <c r="I44" s="10">
        <f t="shared" si="12"/>
        <v>0</v>
      </c>
      <c r="J44" s="10">
        <f t="shared" si="12"/>
        <v>0</v>
      </c>
      <c r="K44" s="10">
        <f t="shared" si="12"/>
        <v>0</v>
      </c>
      <c r="L44" s="10">
        <f t="shared" si="12"/>
        <v>0</v>
      </c>
      <c r="M44" s="26">
        <f>SUM(C44:L44)</f>
        <v>42295.630000000005</v>
      </c>
      <c r="N44" s="9"/>
    </row>
    <row r="45" spans="1:15" ht="15.75" customHeight="1" x14ac:dyDescent="0.25">
      <c r="A45" s="1" t="s">
        <v>49</v>
      </c>
      <c r="B45" s="26">
        <f t="shared" si="11"/>
        <v>0</v>
      </c>
      <c r="D45" s="10"/>
      <c r="E45" s="10"/>
      <c r="F45" s="10"/>
      <c r="H45" s="9"/>
      <c r="I45" s="9"/>
      <c r="J45" s="9"/>
      <c r="K45" s="9"/>
      <c r="L45" s="9"/>
      <c r="M45" s="26"/>
      <c r="N45" s="9"/>
    </row>
    <row r="46" spans="1:15" ht="15.75" customHeight="1" x14ac:dyDescent="0.25">
      <c r="A46" s="1" t="s">
        <v>64</v>
      </c>
      <c r="B46" s="9"/>
      <c r="C46" s="10"/>
      <c r="D46" s="10"/>
      <c r="E46" s="10"/>
      <c r="F46" s="10"/>
      <c r="H46" s="10"/>
      <c r="I46" s="10"/>
      <c r="J46" s="10"/>
      <c r="K46" s="10"/>
      <c r="L46" s="10"/>
      <c r="M46" s="10"/>
      <c r="N46" s="10"/>
    </row>
    <row r="47" spans="1:15" ht="15.75" customHeight="1" x14ac:dyDescent="0.25">
      <c r="A47" s="21" t="s">
        <v>65</v>
      </c>
      <c r="C47" s="10"/>
      <c r="D47" s="10"/>
      <c r="E47" s="10"/>
      <c r="F47" s="10"/>
      <c r="H47" s="10"/>
      <c r="I47" s="10"/>
      <c r="J47" s="10"/>
      <c r="K47" s="10"/>
      <c r="L47" s="10"/>
      <c r="M47" s="10">
        <v>26126.46</v>
      </c>
      <c r="N47" s="10"/>
      <c r="O47" s="10"/>
    </row>
    <row r="48" spans="1:15" ht="15.75" customHeight="1" x14ac:dyDescent="0.25">
      <c r="A48" s="21" t="s">
        <v>66</v>
      </c>
      <c r="C48" s="10"/>
      <c r="D48" s="10"/>
      <c r="E48" s="10"/>
      <c r="F48" s="10"/>
      <c r="H48" s="10"/>
      <c r="I48" s="10"/>
      <c r="J48" s="10"/>
      <c r="K48" s="10"/>
      <c r="L48" s="10"/>
      <c r="M48" s="10">
        <v>2598.81</v>
      </c>
      <c r="N48" s="10"/>
    </row>
    <row r="49" spans="1:14" ht="15.75" customHeight="1" x14ac:dyDescent="0.25">
      <c r="A49" s="21" t="s">
        <v>67</v>
      </c>
      <c r="C49" s="10"/>
      <c r="D49" s="10"/>
      <c r="E49" s="10"/>
      <c r="F49" s="10"/>
      <c r="H49" s="10"/>
      <c r="I49" s="10"/>
      <c r="J49" s="10"/>
      <c r="K49" s="10"/>
      <c r="L49" s="10"/>
      <c r="M49" s="10">
        <v>8547.65</v>
      </c>
      <c r="N49" s="10"/>
    </row>
    <row r="50" spans="1:14" ht="15.75" customHeight="1" x14ac:dyDescent="0.25">
      <c r="A50" s="21" t="s">
        <v>68</v>
      </c>
      <c r="B50" s="10"/>
      <c r="C50" s="10"/>
      <c r="D50" s="10"/>
      <c r="E50" s="10"/>
      <c r="F50" s="10"/>
      <c r="H50" s="10"/>
      <c r="I50" s="10"/>
      <c r="J50" s="10"/>
      <c r="K50" s="10"/>
      <c r="L50" s="10"/>
      <c r="M50" s="10">
        <v>1254.67</v>
      </c>
      <c r="N50" s="10"/>
    </row>
    <row r="51" spans="1:14" ht="15.75" customHeight="1" x14ac:dyDescent="0.25">
      <c r="A51" s="21" t="s">
        <v>69</v>
      </c>
      <c r="B51" s="10"/>
      <c r="C51" s="10"/>
      <c r="D51" s="10"/>
      <c r="E51" s="10"/>
      <c r="F51" s="10"/>
      <c r="H51" s="10"/>
      <c r="I51" s="10"/>
      <c r="J51" s="10"/>
      <c r="K51" s="10"/>
      <c r="L51" s="10"/>
      <c r="M51" s="10">
        <v>248</v>
      </c>
      <c r="N51" s="10"/>
    </row>
    <row r="52" spans="1:14" ht="15.75" customHeight="1" x14ac:dyDescent="0.25">
      <c r="A52" s="21" t="s">
        <v>70</v>
      </c>
      <c r="B52" s="10"/>
      <c r="C52" s="10"/>
      <c r="D52" s="10"/>
      <c r="E52" s="10"/>
      <c r="F52" s="10"/>
      <c r="H52" s="10"/>
      <c r="I52" s="10"/>
      <c r="J52" s="10"/>
      <c r="K52" s="10"/>
      <c r="L52" s="10"/>
      <c r="M52" s="10">
        <v>1712.19</v>
      </c>
      <c r="N52" s="10"/>
    </row>
    <row r="53" spans="1:14" ht="15.75" customHeight="1" x14ac:dyDescent="0.25">
      <c r="A53" s="21" t="s">
        <v>71</v>
      </c>
      <c r="B53" s="10"/>
      <c r="C53" s="10"/>
      <c r="D53" s="10"/>
      <c r="E53" s="10"/>
      <c r="F53" s="10"/>
      <c r="H53" s="10"/>
      <c r="I53" s="10"/>
      <c r="J53" s="10"/>
      <c r="K53" s="10"/>
      <c r="L53" s="10"/>
      <c r="M53" s="10">
        <v>1044.8800000000001</v>
      </c>
      <c r="N53" s="10"/>
    </row>
    <row r="54" spans="1:14" ht="15.75" customHeight="1" x14ac:dyDescent="0.25">
      <c r="A54" s="21" t="s">
        <v>72</v>
      </c>
      <c r="B54" s="10"/>
      <c r="C54" s="10"/>
      <c r="D54" s="10"/>
      <c r="E54" s="10"/>
      <c r="F54" s="10"/>
      <c r="H54" s="10"/>
      <c r="I54" s="10"/>
      <c r="J54" s="10"/>
      <c r="K54" s="10"/>
      <c r="L54" s="10"/>
      <c r="M54" s="10">
        <f>769.74+227.13</f>
        <v>996.87</v>
      </c>
      <c r="N54" s="10"/>
    </row>
    <row r="55" spans="1:14" ht="15.75" customHeight="1" x14ac:dyDescent="0.25">
      <c r="A55" s="21" t="s">
        <v>73</v>
      </c>
      <c r="B55" s="10"/>
      <c r="C55" s="10"/>
      <c r="D55" s="10"/>
      <c r="E55" s="10"/>
      <c r="F55" s="10"/>
      <c r="H55" s="10"/>
      <c r="I55" s="10"/>
      <c r="J55" s="10"/>
      <c r="K55" s="10"/>
      <c r="L55" s="10"/>
      <c r="M55" s="10">
        <v>-524.55999999999995</v>
      </c>
      <c r="N55" s="10"/>
    </row>
    <row r="56" spans="1:14" ht="15.75" customHeight="1" x14ac:dyDescent="0.25">
      <c r="A56" s="1" t="s">
        <v>74</v>
      </c>
      <c r="B56" s="26">
        <f>SUM(C56:M56)</f>
        <v>42004.97</v>
      </c>
      <c r="C56" s="10"/>
      <c r="D56" s="10"/>
      <c r="E56" s="10"/>
      <c r="F56" s="10"/>
      <c r="H56" s="9"/>
      <c r="I56" s="9"/>
      <c r="J56" s="9"/>
      <c r="K56" s="9"/>
      <c r="L56" s="9"/>
      <c r="M56" s="26">
        <f>SUM(M47:M55)</f>
        <v>42004.97</v>
      </c>
      <c r="N56" s="9"/>
    </row>
    <row r="57" spans="1:14" ht="15.75" customHeight="1" x14ac:dyDescent="0.25">
      <c r="A57" s="1" t="s">
        <v>57</v>
      </c>
      <c r="B57" s="15">
        <f>B38+B44+B45-B56</f>
        <v>43127.500000000029</v>
      </c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1:14" ht="15.75" customHeight="1" x14ac:dyDescent="0.25">
      <c r="A58" s="1"/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1:14" ht="15.75" customHeight="1" x14ac:dyDescent="0.25">
      <c r="A59" s="2" t="s">
        <v>75</v>
      </c>
      <c r="B59" s="3" t="s">
        <v>2</v>
      </c>
      <c r="C59" s="4" t="s">
        <v>3</v>
      </c>
      <c r="D59" s="4" t="s">
        <v>4</v>
      </c>
      <c r="E59" s="4" t="s">
        <v>5</v>
      </c>
      <c r="F59" s="4" t="s">
        <v>6</v>
      </c>
      <c r="G59" s="4" t="s">
        <v>7</v>
      </c>
      <c r="H59" s="4" t="s">
        <v>7</v>
      </c>
      <c r="I59" s="4" t="s">
        <v>8</v>
      </c>
      <c r="J59" s="4" t="s">
        <v>9</v>
      </c>
      <c r="K59" s="4" t="s">
        <v>9</v>
      </c>
      <c r="L59" s="4" t="s">
        <v>9</v>
      </c>
      <c r="M59" s="4" t="s">
        <v>12</v>
      </c>
      <c r="N59" s="4" t="s">
        <v>13</v>
      </c>
    </row>
    <row r="60" spans="1:14" ht="15.75" customHeight="1" x14ac:dyDescent="0.25">
      <c r="A60" s="6" t="s">
        <v>14</v>
      </c>
      <c r="B60" s="6" t="s">
        <v>76</v>
      </c>
      <c r="C60" s="7" t="s">
        <v>16</v>
      </c>
      <c r="D60" s="7" t="s">
        <v>17</v>
      </c>
      <c r="E60" s="7" t="s">
        <v>18</v>
      </c>
      <c r="F60" s="7" t="s">
        <v>19</v>
      </c>
      <c r="G60" s="7" t="s">
        <v>20</v>
      </c>
      <c r="H60" s="7" t="s">
        <v>21</v>
      </c>
      <c r="I60" s="7" t="s">
        <v>22</v>
      </c>
      <c r="J60" s="7" t="s">
        <v>77</v>
      </c>
      <c r="K60" s="7" t="s">
        <v>24</v>
      </c>
      <c r="L60" s="7" t="s">
        <v>25</v>
      </c>
      <c r="M60" s="7" t="s">
        <v>26</v>
      </c>
      <c r="N60" s="7" t="s">
        <v>27</v>
      </c>
    </row>
    <row r="61" spans="1:14" ht="15.75" customHeight="1" x14ac:dyDescent="0.25">
      <c r="A61" s="8" t="s">
        <v>28</v>
      </c>
      <c r="B61" s="9">
        <f t="shared" ref="B61:B62" si="13">SUM(C61:N61)</f>
        <v>43127.500000000029</v>
      </c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>
        <f>B57</f>
        <v>43127.500000000029</v>
      </c>
      <c r="N61" s="10"/>
    </row>
    <row r="62" spans="1:14" ht="15.75" customHeight="1" x14ac:dyDescent="0.25">
      <c r="A62" s="8" t="s">
        <v>29</v>
      </c>
      <c r="B62" s="9">
        <f t="shared" si="13"/>
        <v>2700192.27</v>
      </c>
      <c r="C62" s="12">
        <f t="shared" ref="C62:L62" si="14">C34</f>
        <v>646549.87000000011</v>
      </c>
      <c r="D62" s="12">
        <f t="shared" si="14"/>
        <v>616914.66999999981</v>
      </c>
      <c r="E62" s="12">
        <f t="shared" si="14"/>
        <v>794785.69</v>
      </c>
      <c r="F62" s="12">
        <f t="shared" si="14"/>
        <v>62914.390000000007</v>
      </c>
      <c r="G62" s="10">
        <f t="shared" si="14"/>
        <v>0</v>
      </c>
      <c r="H62" s="10">
        <f t="shared" si="14"/>
        <v>0</v>
      </c>
      <c r="I62" s="10">
        <f t="shared" si="14"/>
        <v>108505.94</v>
      </c>
      <c r="J62" s="10">
        <f t="shared" si="14"/>
        <v>250301.40000000002</v>
      </c>
      <c r="K62" s="10">
        <f t="shared" si="14"/>
        <v>54472.659999999996</v>
      </c>
      <c r="L62" s="10">
        <f t="shared" si="14"/>
        <v>145871.88999999998</v>
      </c>
      <c r="M62" s="10"/>
      <c r="N62" s="10">
        <f>N34</f>
        <v>19875.759999999998</v>
      </c>
    </row>
    <row r="63" spans="1:14" ht="15.75" customHeight="1" x14ac:dyDescent="0.25">
      <c r="A63" s="8"/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1:14" ht="15.75" customHeight="1" x14ac:dyDescent="0.25">
      <c r="A64" s="1" t="s">
        <v>32</v>
      </c>
      <c r="B64" s="15">
        <f>SUM(C64:N64)</f>
        <v>2743319.77</v>
      </c>
      <c r="C64" s="15">
        <f t="shared" ref="C64:N64" si="15">SUM(C61:C62)</f>
        <v>646549.87000000011</v>
      </c>
      <c r="D64" s="15">
        <f t="shared" si="15"/>
        <v>616914.66999999981</v>
      </c>
      <c r="E64" s="15">
        <f t="shared" si="15"/>
        <v>794785.69</v>
      </c>
      <c r="F64" s="15">
        <f t="shared" si="15"/>
        <v>62914.390000000007</v>
      </c>
      <c r="G64" s="15">
        <f t="shared" si="15"/>
        <v>0</v>
      </c>
      <c r="H64" s="15">
        <f t="shared" si="15"/>
        <v>0</v>
      </c>
      <c r="I64" s="15">
        <f t="shared" si="15"/>
        <v>108505.94</v>
      </c>
      <c r="J64" s="15">
        <f t="shared" si="15"/>
        <v>250301.40000000002</v>
      </c>
      <c r="K64" s="15">
        <f t="shared" si="15"/>
        <v>54472.659999999996</v>
      </c>
      <c r="L64" s="15">
        <f t="shared" si="15"/>
        <v>145871.88999999998</v>
      </c>
      <c r="M64" s="15">
        <f t="shared" si="15"/>
        <v>43127.500000000029</v>
      </c>
      <c r="N64" s="15">
        <f t="shared" si="15"/>
        <v>19875.759999999998</v>
      </c>
    </row>
    <row r="65" spans="1:19" ht="15.75" customHeight="1" x14ac:dyDescent="0.25">
      <c r="A65" s="21"/>
      <c r="B65" s="21"/>
      <c r="C65" s="10"/>
      <c r="D65" s="10"/>
      <c r="E65" s="10"/>
      <c r="F65" s="10"/>
    </row>
    <row r="66" spans="1:19" ht="15.75" customHeight="1" x14ac:dyDescent="0.25">
      <c r="A66" s="21" t="str">
        <f>A1</f>
        <v xml:space="preserve">Month: March 2025                                                                                                                                </v>
      </c>
      <c r="B66" s="21"/>
      <c r="D66" s="10"/>
      <c r="E66" s="10"/>
      <c r="G66" s="10"/>
      <c r="H66" s="10"/>
      <c r="I66" s="10"/>
    </row>
    <row r="67" spans="1:19" ht="15.75" customHeight="1" x14ac:dyDescent="0.25">
      <c r="A67" s="10"/>
      <c r="B67" s="27" t="s">
        <v>79</v>
      </c>
      <c r="C67" s="27" t="s">
        <v>80</v>
      </c>
      <c r="D67" s="27" t="s">
        <v>81</v>
      </c>
      <c r="E67" s="27" t="s">
        <v>82</v>
      </c>
      <c r="F67" s="11" t="s">
        <v>83</v>
      </c>
      <c r="G67" s="10"/>
      <c r="H67" s="10"/>
      <c r="I67" s="10"/>
    </row>
    <row r="68" spans="1:19" ht="15.75" customHeight="1" x14ac:dyDescent="0.25">
      <c r="A68" s="30" t="s">
        <v>84</v>
      </c>
      <c r="B68" s="10"/>
      <c r="C68" s="10">
        <v>339388.72</v>
      </c>
      <c r="D68" s="10">
        <f>C103</f>
        <v>25671.730000000003</v>
      </c>
      <c r="E68" s="10">
        <f>D89</f>
        <v>0</v>
      </c>
      <c r="F68" s="10">
        <f t="shared" ref="F68:F69" si="16">(C68-D68+E68)-B68</f>
        <v>313716.99</v>
      </c>
      <c r="G68" s="10"/>
      <c r="H68" s="10"/>
      <c r="I68" s="10">
        <f>C68-D68</f>
        <v>313716.99</v>
      </c>
      <c r="O68" s="14"/>
    </row>
    <row r="69" spans="1:19" ht="15.75" customHeight="1" x14ac:dyDescent="0.25">
      <c r="A69" s="30" t="s">
        <v>85</v>
      </c>
      <c r="B69" s="10">
        <f>B35-M35</f>
        <v>2747861.3</v>
      </c>
      <c r="C69" s="10">
        <f>2333765.72+34371.27</f>
        <v>2368136.9900000002</v>
      </c>
      <c r="D69" s="10">
        <f>D85</f>
        <v>0</v>
      </c>
      <c r="E69" s="10">
        <f>E81</f>
        <v>0</v>
      </c>
      <c r="F69" s="10">
        <f t="shared" si="16"/>
        <v>-379724.30999999959</v>
      </c>
      <c r="H69" s="10"/>
      <c r="I69" s="10">
        <f>C69+E69</f>
        <v>2368136.9900000002</v>
      </c>
    </row>
    <row r="70" spans="1:19" ht="15.75" customHeight="1" x14ac:dyDescent="0.25">
      <c r="A70" s="30"/>
      <c r="B70" s="10"/>
      <c r="C70" s="10"/>
      <c r="D70" s="10"/>
      <c r="F70" s="31">
        <f>F68+F69</f>
        <v>-66007.3199999996</v>
      </c>
      <c r="G70" s="10"/>
      <c r="H70" s="10"/>
      <c r="I70" s="10">
        <f>I68+I69</f>
        <v>2681853.9800000004</v>
      </c>
      <c r="O70" s="14"/>
    </row>
    <row r="71" spans="1:19" ht="15.75" customHeight="1" x14ac:dyDescent="0.25">
      <c r="A71" s="30" t="s">
        <v>28</v>
      </c>
      <c r="B71" s="10">
        <f>B57</f>
        <v>43127.500000000029</v>
      </c>
      <c r="C71" s="10">
        <v>50014.239999999998</v>
      </c>
      <c r="D71" s="10">
        <f>J86</f>
        <v>3801.98</v>
      </c>
      <c r="E71" s="10">
        <f>J92</f>
        <v>0</v>
      </c>
      <c r="F71" s="10">
        <f>(C71-D71+E71)-B71</f>
        <v>3084.7599999999657</v>
      </c>
      <c r="G71" s="10"/>
      <c r="H71" s="10"/>
      <c r="I71" s="10"/>
    </row>
    <row r="72" spans="1:19" ht="15.75" customHeight="1" x14ac:dyDescent="0.25">
      <c r="A72" s="8"/>
      <c r="B72" s="10"/>
      <c r="C72" s="10" t="s">
        <v>86</v>
      </c>
      <c r="D72" s="10"/>
      <c r="E72" s="10" t="s">
        <v>87</v>
      </c>
      <c r="F72" s="31">
        <f>F70+F71</f>
        <v>-62922.559999999634</v>
      </c>
      <c r="G72" s="10"/>
      <c r="H72" s="10"/>
      <c r="I72" s="10"/>
      <c r="J72" s="32"/>
      <c r="K72" s="32"/>
      <c r="L72" s="32"/>
      <c r="M72" s="32"/>
      <c r="N72" s="32"/>
    </row>
    <row r="73" spans="1:19" ht="15.75" customHeight="1" x14ac:dyDescent="0.25">
      <c r="A73" s="8"/>
      <c r="B73" s="10"/>
      <c r="C73" s="10"/>
      <c r="D73" s="10"/>
      <c r="E73" s="10"/>
      <c r="F73" s="10"/>
      <c r="G73" s="10"/>
      <c r="H73" s="10"/>
      <c r="I73" s="10"/>
      <c r="J73" s="32"/>
      <c r="K73" s="32"/>
      <c r="L73" s="32"/>
      <c r="M73" s="32"/>
      <c r="N73" s="32"/>
    </row>
    <row r="74" spans="1:19" ht="15.75" customHeight="1" x14ac:dyDescent="0.25">
      <c r="A74" s="27"/>
      <c r="B74" s="69" t="s">
        <v>88</v>
      </c>
      <c r="C74" s="70"/>
      <c r="D74" s="71" t="s">
        <v>89</v>
      </c>
      <c r="E74" s="72"/>
      <c r="F74" s="23" t="s">
        <v>90</v>
      </c>
      <c r="J74" s="33" t="s">
        <v>91</v>
      </c>
      <c r="K74" s="34"/>
      <c r="L74" s="34"/>
      <c r="M74" s="32"/>
      <c r="N74" s="32"/>
      <c r="O74" s="32"/>
      <c r="P74" s="32"/>
      <c r="Q74" s="32"/>
    </row>
    <row r="75" spans="1:19" ht="15.75" customHeight="1" x14ac:dyDescent="0.25">
      <c r="A75" s="35">
        <v>45575</v>
      </c>
      <c r="B75" s="23">
        <v>18568</v>
      </c>
      <c r="C75" s="14">
        <v>86</v>
      </c>
      <c r="D75" s="36" t="s">
        <v>92</v>
      </c>
      <c r="E75" s="37">
        <v>0</v>
      </c>
      <c r="H75" s="52">
        <v>45741</v>
      </c>
      <c r="I75" s="23">
        <v>8331</v>
      </c>
      <c r="J75" s="53">
        <v>263.51</v>
      </c>
      <c r="L75" s="8"/>
      <c r="S75" s="14"/>
    </row>
    <row r="76" spans="1:19" ht="15.75" customHeight="1" x14ac:dyDescent="0.25">
      <c r="A76" s="35">
        <v>45575</v>
      </c>
      <c r="B76" s="23">
        <v>18573</v>
      </c>
      <c r="C76" s="14">
        <v>143.28</v>
      </c>
      <c r="D76" s="38" t="s">
        <v>93</v>
      </c>
      <c r="E76" s="39">
        <v>0</v>
      </c>
      <c r="F76" s="22"/>
      <c r="H76" s="52">
        <v>45741</v>
      </c>
      <c r="I76" s="23">
        <v>8332</v>
      </c>
      <c r="J76" s="53">
        <v>243.8</v>
      </c>
      <c r="L76" s="8"/>
      <c r="S76" s="14"/>
    </row>
    <row r="77" spans="1:19" ht="15.75" customHeight="1" x14ac:dyDescent="0.25">
      <c r="A77" s="35">
        <v>45672</v>
      </c>
      <c r="B77" s="23">
        <v>18735</v>
      </c>
      <c r="C77" s="14">
        <v>43</v>
      </c>
      <c r="D77" s="38" t="s">
        <v>94</v>
      </c>
      <c r="E77" s="39">
        <v>0</v>
      </c>
      <c r="F77" s="22"/>
      <c r="H77" s="52">
        <v>45741</v>
      </c>
      <c r="I77" s="23">
        <v>8333</v>
      </c>
      <c r="J77" s="53">
        <v>238.72</v>
      </c>
      <c r="K77" s="8"/>
      <c r="L77" s="8"/>
      <c r="S77" s="14"/>
    </row>
    <row r="78" spans="1:19" ht="15.75" customHeight="1" x14ac:dyDescent="0.25">
      <c r="A78" s="35">
        <v>45672</v>
      </c>
      <c r="B78" s="23">
        <v>18767</v>
      </c>
      <c r="C78" s="14">
        <v>6170</v>
      </c>
      <c r="D78" s="38" t="s">
        <v>95</v>
      </c>
      <c r="E78" s="39">
        <v>0</v>
      </c>
      <c r="F78" s="22"/>
      <c r="H78" s="52">
        <v>45741</v>
      </c>
      <c r="I78" s="23">
        <v>8344</v>
      </c>
      <c r="J78" s="53">
        <v>1061.53</v>
      </c>
      <c r="K78" s="8"/>
      <c r="L78" s="8"/>
      <c r="S78" s="14"/>
    </row>
    <row r="79" spans="1:19" ht="15.75" customHeight="1" x14ac:dyDescent="0.25">
      <c r="A79" s="52">
        <v>45700</v>
      </c>
      <c r="B79" s="54">
        <v>18797</v>
      </c>
      <c r="C79" s="55">
        <v>3033.23</v>
      </c>
      <c r="D79" s="38" t="s">
        <v>96</v>
      </c>
      <c r="E79" s="39">
        <v>0</v>
      </c>
      <c r="H79" s="52">
        <v>45741</v>
      </c>
      <c r="I79" s="23">
        <v>8346</v>
      </c>
      <c r="J79" s="53">
        <v>474.41</v>
      </c>
      <c r="K79" s="8"/>
      <c r="L79" s="8"/>
      <c r="S79" s="14"/>
    </row>
    <row r="80" spans="1:19" ht="15.75" customHeight="1" x14ac:dyDescent="0.25">
      <c r="A80" s="52">
        <v>45700</v>
      </c>
      <c r="B80" s="54">
        <v>18812</v>
      </c>
      <c r="C80" s="55">
        <v>220</v>
      </c>
      <c r="D80" s="38" t="s">
        <v>97</v>
      </c>
      <c r="E80" s="39">
        <v>0</v>
      </c>
      <c r="F80" s="73" t="s">
        <v>98</v>
      </c>
      <c r="G80" s="72"/>
      <c r="H80" s="35">
        <v>45742</v>
      </c>
      <c r="I80" s="23" t="s">
        <v>71</v>
      </c>
      <c r="J80" s="53">
        <v>1044.8800000000001</v>
      </c>
      <c r="K80" s="8"/>
      <c r="L80" s="8"/>
      <c r="S80" s="14"/>
    </row>
    <row r="81" spans="1:19" ht="15.75" customHeight="1" x14ac:dyDescent="0.25">
      <c r="A81" s="52">
        <v>45728</v>
      </c>
      <c r="B81" s="54">
        <v>18854</v>
      </c>
      <c r="C81" s="55">
        <v>95</v>
      </c>
      <c r="D81" s="40"/>
      <c r="E81" s="41">
        <f>E75+E76+E77+E78+E79+E80</f>
        <v>0</v>
      </c>
      <c r="F81" s="42"/>
      <c r="G81" s="43"/>
      <c r="H81" s="35">
        <v>45742</v>
      </c>
      <c r="I81" s="23">
        <v>8349</v>
      </c>
      <c r="J81" s="53">
        <v>227.13</v>
      </c>
      <c r="K81" s="8"/>
      <c r="L81" s="8"/>
      <c r="S81" s="14"/>
    </row>
    <row r="82" spans="1:19" ht="15.75" customHeight="1" x14ac:dyDescent="0.25">
      <c r="A82" s="52">
        <v>45728</v>
      </c>
      <c r="B82" s="54">
        <v>18859</v>
      </c>
      <c r="C82" s="55">
        <v>61.04</v>
      </c>
      <c r="D82" s="44" t="s">
        <v>99</v>
      </c>
      <c r="F82" s="23" t="s">
        <v>100</v>
      </c>
      <c r="G82" s="27"/>
      <c r="H82" s="35">
        <v>45742</v>
      </c>
      <c r="I82" s="23">
        <v>8350</v>
      </c>
      <c r="J82" s="53">
        <v>248</v>
      </c>
      <c r="K82" s="8"/>
      <c r="L82" s="8"/>
      <c r="S82" s="14"/>
    </row>
    <row r="83" spans="1:19" ht="15.75" customHeight="1" x14ac:dyDescent="0.25">
      <c r="A83" s="52">
        <v>45728</v>
      </c>
      <c r="B83" s="54">
        <v>18866</v>
      </c>
      <c r="C83" s="55">
        <v>2500</v>
      </c>
      <c r="D83" s="45"/>
      <c r="F83" s="23" t="s">
        <v>101</v>
      </c>
      <c r="G83" s="27"/>
      <c r="H83" s="27"/>
      <c r="I83" s="27"/>
      <c r="J83" s="10"/>
      <c r="K83" s="8"/>
      <c r="L83" s="8"/>
      <c r="S83" s="14"/>
    </row>
    <row r="84" spans="1:19" ht="15.75" customHeight="1" x14ac:dyDescent="0.25">
      <c r="A84" s="52">
        <v>45742</v>
      </c>
      <c r="B84" s="54">
        <v>18876</v>
      </c>
      <c r="C84" s="55">
        <v>1049.67</v>
      </c>
      <c r="D84" s="14"/>
      <c r="F84" s="23" t="s">
        <v>102</v>
      </c>
      <c r="G84" s="27"/>
      <c r="H84" s="27"/>
      <c r="I84" s="27"/>
      <c r="J84" s="10"/>
      <c r="K84" s="8"/>
      <c r="L84" s="8"/>
      <c r="S84" s="14"/>
    </row>
    <row r="85" spans="1:19" ht="15.75" customHeight="1" x14ac:dyDescent="0.25">
      <c r="A85" s="52">
        <v>45742</v>
      </c>
      <c r="B85" s="54">
        <v>18877</v>
      </c>
      <c r="C85" s="55">
        <v>10047.290000000001</v>
      </c>
      <c r="D85" s="46">
        <f>SUM(D83:D84)</f>
        <v>0</v>
      </c>
      <c r="F85" s="23" t="s">
        <v>103</v>
      </c>
      <c r="G85" s="27"/>
      <c r="H85" s="27"/>
      <c r="I85" s="27"/>
      <c r="J85" s="10"/>
      <c r="K85" s="8"/>
      <c r="L85" s="8"/>
      <c r="S85" s="14"/>
    </row>
    <row r="86" spans="1:19" ht="15.75" customHeight="1" x14ac:dyDescent="0.25">
      <c r="A86" s="52">
        <v>45742</v>
      </c>
      <c r="B86" s="54">
        <v>18878</v>
      </c>
      <c r="C86" s="55">
        <v>2223.2199999999998</v>
      </c>
      <c r="F86" s="23" t="s">
        <v>104</v>
      </c>
      <c r="G86" s="27"/>
      <c r="H86" s="27"/>
      <c r="I86" s="27"/>
      <c r="J86" s="47">
        <f>SUM(J75:J85)</f>
        <v>3801.98</v>
      </c>
      <c r="K86" s="8"/>
      <c r="L86" s="8"/>
      <c r="S86" s="14"/>
    </row>
    <row r="87" spans="1:19" ht="15.75" customHeight="1" x14ac:dyDescent="0.25">
      <c r="A87" s="52"/>
      <c r="B87" s="54"/>
      <c r="C87" s="53"/>
      <c r="F87" s="23" t="s">
        <v>105</v>
      </c>
      <c r="G87" s="27"/>
      <c r="H87" s="27"/>
      <c r="I87" s="27"/>
      <c r="J87" s="14"/>
      <c r="K87" s="8"/>
      <c r="L87" s="8"/>
      <c r="S87" s="14"/>
    </row>
    <row r="88" spans="1:19" ht="15.75" customHeight="1" x14ac:dyDescent="0.25">
      <c r="A88" s="52"/>
      <c r="B88" s="54"/>
      <c r="C88" s="53"/>
      <c r="D88" s="33" t="s">
        <v>106</v>
      </c>
      <c r="E88" s="32"/>
      <c r="F88" s="23" t="s">
        <v>107</v>
      </c>
      <c r="G88" s="27"/>
      <c r="H88" s="27"/>
      <c r="I88" s="27"/>
      <c r="J88" s="33" t="s">
        <v>108</v>
      </c>
      <c r="K88" s="8"/>
      <c r="L88" s="8"/>
      <c r="S88" s="14"/>
    </row>
    <row r="89" spans="1:19" ht="15.75" customHeight="1" x14ac:dyDescent="0.25">
      <c r="A89" s="35"/>
      <c r="C89" s="14"/>
      <c r="D89" s="45"/>
      <c r="E89" s="32"/>
      <c r="F89" s="14"/>
      <c r="J89" s="48"/>
      <c r="K89" s="8"/>
      <c r="L89" s="8"/>
      <c r="S89" s="14"/>
    </row>
    <row r="90" spans="1:19" ht="15" customHeight="1" x14ac:dyDescent="0.25">
      <c r="A90" s="35"/>
      <c r="B90" s="23"/>
      <c r="C90" s="14"/>
      <c r="D90" s="14"/>
      <c r="E90" s="32"/>
      <c r="F90" s="14"/>
      <c r="G90" s="14"/>
      <c r="H90" s="14"/>
      <c r="I90" s="14"/>
      <c r="J90" s="48"/>
      <c r="K90" s="8"/>
      <c r="L90" s="8"/>
      <c r="S90" s="14"/>
    </row>
    <row r="91" spans="1:19" ht="15" customHeight="1" x14ac:dyDescent="0.25">
      <c r="A91" s="35"/>
      <c r="C91" s="14"/>
      <c r="D91" s="14"/>
      <c r="E91" s="32"/>
      <c r="F91" s="14"/>
      <c r="G91" s="14"/>
      <c r="H91" s="14"/>
      <c r="I91" s="14"/>
      <c r="J91" s="48"/>
      <c r="K91" s="8"/>
      <c r="L91" s="8"/>
      <c r="S91" s="14"/>
    </row>
    <row r="92" spans="1:19" ht="15" customHeight="1" x14ac:dyDescent="0.25">
      <c r="A92" s="35"/>
      <c r="B92" s="23"/>
      <c r="C92" s="14"/>
      <c r="D92" s="14"/>
      <c r="E92" s="32"/>
      <c r="F92" s="14"/>
      <c r="G92" s="14"/>
      <c r="H92" s="49"/>
      <c r="I92" s="8"/>
      <c r="J92" s="50">
        <f>SUM(J89:J91)</f>
        <v>0</v>
      </c>
      <c r="Q92" s="14"/>
    </row>
    <row r="93" spans="1:19" ht="15" customHeight="1" x14ac:dyDescent="0.25">
      <c r="A93" s="35"/>
      <c r="C93" s="14"/>
      <c r="D93" s="14"/>
      <c r="E93" s="32"/>
      <c r="F93" s="14"/>
      <c r="G93" s="14"/>
      <c r="H93" s="49"/>
      <c r="I93" s="8"/>
      <c r="J93" s="8"/>
      <c r="Q93" s="14"/>
    </row>
    <row r="94" spans="1:19" ht="15" customHeight="1" x14ac:dyDescent="0.25">
      <c r="A94" s="35"/>
      <c r="B94" s="23"/>
      <c r="C94" s="14"/>
      <c r="D94" s="14"/>
      <c r="E94" s="32"/>
      <c r="F94" s="14"/>
      <c r="G94" s="14"/>
      <c r="H94" s="49"/>
      <c r="I94" s="8"/>
      <c r="J94" s="8"/>
      <c r="Q94" s="14"/>
    </row>
    <row r="95" spans="1:19" ht="15" customHeight="1" x14ac:dyDescent="0.25">
      <c r="A95" s="35"/>
      <c r="B95" s="23"/>
      <c r="C95" s="14"/>
      <c r="D95" s="14"/>
      <c r="E95" s="32"/>
      <c r="F95" s="14"/>
      <c r="G95" s="14"/>
      <c r="H95" s="49"/>
      <c r="I95" s="8"/>
      <c r="J95" s="8"/>
      <c r="Q95" s="14"/>
    </row>
    <row r="96" spans="1:19" ht="15" customHeight="1" x14ac:dyDescent="0.25">
      <c r="A96" s="35"/>
      <c r="B96" s="23"/>
      <c r="C96" s="14"/>
      <c r="D96" s="14"/>
      <c r="E96" s="32"/>
      <c r="F96" s="14"/>
      <c r="G96" s="14"/>
      <c r="H96" s="49"/>
      <c r="I96" s="8"/>
      <c r="J96" s="8"/>
      <c r="Q96" s="14"/>
    </row>
    <row r="97" spans="1:17" ht="15" customHeight="1" x14ac:dyDescent="0.25">
      <c r="A97" s="35"/>
      <c r="B97" s="23"/>
      <c r="C97" s="14"/>
      <c r="D97" s="14"/>
      <c r="E97" s="32"/>
      <c r="F97" s="14"/>
      <c r="G97" s="14"/>
      <c r="H97" s="49"/>
      <c r="I97" s="8"/>
      <c r="J97" s="8"/>
      <c r="Q97" s="14"/>
    </row>
    <row r="98" spans="1:17" ht="15" customHeight="1" x14ac:dyDescent="0.25">
      <c r="A98" s="35"/>
      <c r="B98" s="23"/>
      <c r="C98" s="14"/>
      <c r="D98" s="14"/>
      <c r="E98" s="32"/>
      <c r="F98" s="14"/>
      <c r="G98" s="14"/>
      <c r="H98" s="49"/>
      <c r="I98" s="8"/>
      <c r="J98" s="8"/>
      <c r="Q98" s="14"/>
    </row>
    <row r="99" spans="1:17" ht="15" customHeight="1" x14ac:dyDescent="0.25">
      <c r="A99" s="35"/>
      <c r="B99" s="23"/>
      <c r="C99" s="14"/>
      <c r="D99" s="14"/>
      <c r="E99" s="32"/>
      <c r="F99" s="14"/>
      <c r="G99" s="14"/>
      <c r="H99" s="49"/>
      <c r="I99" s="8"/>
      <c r="J99" s="8"/>
      <c r="Q99" s="14"/>
    </row>
    <row r="100" spans="1:17" ht="15" customHeight="1" x14ac:dyDescent="0.25">
      <c r="A100" s="35"/>
      <c r="B100" s="23"/>
      <c r="C100" s="14"/>
      <c r="D100" s="14"/>
      <c r="E100" s="32"/>
      <c r="F100" s="14"/>
      <c r="G100" s="14"/>
      <c r="H100" s="49"/>
      <c r="I100" s="8"/>
      <c r="J100" s="8"/>
      <c r="Q100" s="14"/>
    </row>
    <row r="101" spans="1:17" ht="15" customHeight="1" x14ac:dyDescent="0.25">
      <c r="A101" s="35"/>
      <c r="B101" s="23"/>
      <c r="C101" s="14"/>
      <c r="D101" s="14"/>
      <c r="E101" s="32"/>
      <c r="F101" s="14"/>
      <c r="G101" s="14"/>
      <c r="H101" s="49"/>
      <c r="I101" s="8"/>
      <c r="J101" s="8"/>
      <c r="Q101" s="14"/>
    </row>
    <row r="102" spans="1:17" ht="15" customHeight="1" x14ac:dyDescent="0.25">
      <c r="A102" s="35"/>
      <c r="B102" s="23"/>
      <c r="C102" s="14"/>
      <c r="D102" s="14"/>
      <c r="E102" s="32"/>
      <c r="F102" s="14"/>
      <c r="G102" s="14"/>
      <c r="H102" s="49"/>
      <c r="I102" s="8"/>
      <c r="J102" s="8"/>
      <c r="Q102" s="14"/>
    </row>
    <row r="103" spans="1:17" ht="15.75" customHeight="1" x14ac:dyDescent="0.25">
      <c r="C103" s="46">
        <f>SUM(C75:C102)</f>
        <v>25671.730000000003</v>
      </c>
      <c r="D103" s="14"/>
      <c r="E103" s="32"/>
      <c r="F103" s="14"/>
      <c r="G103" s="14"/>
      <c r="H103" s="49"/>
      <c r="I103" s="8"/>
      <c r="J103" s="8"/>
      <c r="Q103" s="14"/>
    </row>
    <row r="104" spans="1:17" ht="15.75" customHeight="1" x14ac:dyDescent="0.25">
      <c r="C104" s="14"/>
      <c r="D104" s="32"/>
      <c r="E104" s="14"/>
      <c r="F104" s="14"/>
      <c r="G104" s="49"/>
      <c r="H104" s="8"/>
      <c r="I104" s="8"/>
      <c r="P104" s="14"/>
    </row>
    <row r="105" spans="1:17" ht="15.75" customHeight="1" x14ac:dyDescent="0.25">
      <c r="C105" s="14"/>
      <c r="D105" s="32"/>
      <c r="E105" s="14"/>
      <c r="F105" s="14"/>
      <c r="G105" s="49"/>
      <c r="H105" s="8"/>
      <c r="I105" s="8"/>
      <c r="P105" s="14"/>
    </row>
    <row r="106" spans="1:17" ht="15.75" customHeight="1" x14ac:dyDescent="0.25">
      <c r="C106" s="14"/>
      <c r="D106" s="32"/>
      <c r="E106" s="14"/>
      <c r="F106" s="14"/>
      <c r="G106" s="49"/>
      <c r="H106" s="8"/>
      <c r="I106" s="8"/>
      <c r="P106" s="14"/>
    </row>
    <row r="107" spans="1:17" ht="15.75" customHeight="1" x14ac:dyDescent="0.25">
      <c r="C107" s="14"/>
      <c r="D107" s="32"/>
      <c r="E107" s="14"/>
      <c r="F107" s="14"/>
      <c r="G107" s="49"/>
      <c r="H107" s="8"/>
      <c r="I107" s="8"/>
      <c r="P107" s="14"/>
    </row>
    <row r="108" spans="1:17" ht="15.75" customHeight="1" x14ac:dyDescent="0.25">
      <c r="C108" s="14"/>
      <c r="D108" s="32"/>
      <c r="E108" s="14"/>
      <c r="F108" s="14"/>
      <c r="G108" s="49"/>
      <c r="H108" s="8"/>
      <c r="I108" s="8"/>
      <c r="P108" s="14"/>
    </row>
    <row r="109" spans="1:17" ht="15.75" customHeight="1" x14ac:dyDescent="0.25">
      <c r="C109" s="14"/>
      <c r="D109" s="32"/>
      <c r="E109" s="14"/>
      <c r="F109" s="14"/>
      <c r="G109" s="49"/>
      <c r="H109" s="8"/>
      <c r="I109" s="8"/>
      <c r="P109" s="14"/>
    </row>
    <row r="110" spans="1:17" ht="15.75" customHeight="1" x14ac:dyDescent="0.25">
      <c r="C110" s="14"/>
      <c r="D110" s="32"/>
      <c r="E110" s="14"/>
      <c r="F110" s="14"/>
      <c r="G110" s="49"/>
      <c r="H110" s="8"/>
      <c r="I110" s="8"/>
      <c r="P110" s="14"/>
    </row>
    <row r="111" spans="1:17" ht="15.75" customHeight="1" x14ac:dyDescent="0.25">
      <c r="C111" s="14"/>
      <c r="D111" s="32"/>
      <c r="E111" s="14"/>
      <c r="F111" s="14"/>
      <c r="G111" s="49"/>
      <c r="H111" s="8"/>
      <c r="I111" s="8"/>
      <c r="P111" s="14"/>
    </row>
    <row r="112" spans="1:17" ht="15.75" customHeight="1" x14ac:dyDescent="0.25">
      <c r="B112" s="22"/>
      <c r="C112" s="14"/>
      <c r="D112" s="32"/>
      <c r="E112" s="14"/>
      <c r="F112" s="14"/>
      <c r="G112" s="49"/>
      <c r="H112" s="8"/>
      <c r="I112" s="8"/>
      <c r="P112" s="14"/>
    </row>
    <row r="113" spans="2:16" ht="15.75" customHeight="1" x14ac:dyDescent="0.25">
      <c r="C113" s="14"/>
      <c r="D113" s="32"/>
      <c r="E113" s="14"/>
      <c r="F113" s="14"/>
      <c r="G113" s="49"/>
      <c r="H113" s="8"/>
      <c r="I113" s="8"/>
      <c r="P113" s="14"/>
    </row>
    <row r="114" spans="2:16" ht="15.75" customHeight="1" x14ac:dyDescent="0.25">
      <c r="C114" s="14"/>
      <c r="D114" s="32"/>
      <c r="E114" s="14"/>
      <c r="F114" s="14"/>
      <c r="G114" s="49"/>
      <c r="H114" s="8"/>
      <c r="I114" s="8"/>
      <c r="P114" s="14"/>
    </row>
    <row r="115" spans="2:16" ht="15.75" customHeight="1" x14ac:dyDescent="0.25">
      <c r="C115" s="14"/>
      <c r="D115" s="32"/>
      <c r="E115" s="14"/>
      <c r="F115" s="14"/>
      <c r="G115" s="49"/>
      <c r="H115" s="8"/>
      <c r="I115" s="8"/>
      <c r="P115" s="14"/>
    </row>
    <row r="116" spans="2:16" ht="15.75" customHeight="1" x14ac:dyDescent="0.25">
      <c r="B116" s="14"/>
      <c r="C116" s="14"/>
      <c r="D116" s="32"/>
      <c r="E116" s="14"/>
      <c r="F116" s="14"/>
      <c r="G116" s="49"/>
      <c r="H116" s="8"/>
      <c r="I116" s="8"/>
      <c r="P116" s="14"/>
    </row>
    <row r="117" spans="2:16" ht="15.75" customHeight="1" x14ac:dyDescent="0.25">
      <c r="B117" s="14"/>
      <c r="C117" s="14"/>
      <c r="D117" s="32"/>
      <c r="E117" s="14"/>
      <c r="F117" s="14"/>
      <c r="G117" s="49"/>
      <c r="H117" s="8"/>
      <c r="I117" s="8"/>
      <c r="P117" s="14"/>
    </row>
    <row r="118" spans="2:16" ht="15.75" customHeight="1" x14ac:dyDescent="0.25">
      <c r="B118" s="14"/>
      <c r="C118" s="14"/>
      <c r="D118" s="32"/>
      <c r="E118" s="14"/>
      <c r="F118" s="14"/>
      <c r="G118" s="49"/>
      <c r="H118" s="8"/>
      <c r="I118" s="8"/>
      <c r="P118" s="14"/>
    </row>
    <row r="119" spans="2:16" ht="15.75" customHeight="1" x14ac:dyDescent="0.25">
      <c r="B119" s="14"/>
      <c r="C119" s="22"/>
      <c r="H119" s="8"/>
      <c r="I119" s="8"/>
    </row>
    <row r="120" spans="2:16" ht="15.75" customHeight="1" x14ac:dyDescent="0.25">
      <c r="B120" s="14"/>
      <c r="E120" s="14"/>
    </row>
    <row r="121" spans="2:16" ht="15.75" customHeight="1" x14ac:dyDescent="0.25">
      <c r="B121" s="14"/>
    </row>
    <row r="122" spans="2:16" ht="15.75" customHeight="1" x14ac:dyDescent="0.25">
      <c r="B122" s="14"/>
      <c r="E122" s="14"/>
    </row>
    <row r="123" spans="2:16" ht="15.75" customHeight="1" x14ac:dyDescent="0.25">
      <c r="B123" s="14"/>
    </row>
    <row r="124" spans="2:16" ht="15.75" customHeight="1" x14ac:dyDescent="0.25">
      <c r="B124" s="14"/>
    </row>
    <row r="125" spans="2:16" ht="15.75" customHeight="1" x14ac:dyDescent="0.25">
      <c r="B125" s="14"/>
      <c r="C125" s="22"/>
    </row>
    <row r="126" spans="2:16" ht="15.75" customHeight="1" x14ac:dyDescent="0.25">
      <c r="B126" s="14"/>
    </row>
    <row r="127" spans="2:16" ht="15.75" customHeight="1" x14ac:dyDescent="0.25">
      <c r="B127" s="14"/>
    </row>
    <row r="128" spans="2:16" ht="15.75" customHeight="1" x14ac:dyDescent="0.25">
      <c r="B128" s="14"/>
    </row>
    <row r="129" spans="1:2" ht="15.75" customHeight="1" x14ac:dyDescent="0.25">
      <c r="B129" s="14"/>
    </row>
    <row r="130" spans="1:2" ht="15.75" customHeight="1" x14ac:dyDescent="0.25">
      <c r="A130" s="22"/>
      <c r="B130" s="14"/>
    </row>
    <row r="131" spans="1:2" ht="15.75" customHeight="1" x14ac:dyDescent="0.25">
      <c r="A131" s="22"/>
      <c r="B131" s="14"/>
    </row>
    <row r="132" spans="1:2" ht="15.75" customHeight="1" x14ac:dyDescent="0.25">
      <c r="A132" s="51"/>
      <c r="B132" s="14"/>
    </row>
    <row r="133" spans="1:2" ht="15.75" customHeight="1" x14ac:dyDescent="0.25">
      <c r="A133" s="51"/>
      <c r="B133" s="14"/>
    </row>
    <row r="134" spans="1:2" ht="15.75" customHeight="1" x14ac:dyDescent="0.25">
      <c r="A134" s="51"/>
      <c r="B134" s="14"/>
    </row>
    <row r="135" spans="1:2" ht="15.75" customHeight="1" x14ac:dyDescent="0.25">
      <c r="A135" s="51"/>
      <c r="B135" s="14"/>
    </row>
    <row r="136" spans="1:2" ht="15.75" customHeight="1" x14ac:dyDescent="0.25">
      <c r="A136" s="51"/>
      <c r="B136" s="14"/>
    </row>
    <row r="137" spans="1:2" ht="15.75" customHeight="1" x14ac:dyDescent="0.25">
      <c r="A137" s="51"/>
      <c r="B137" s="14"/>
    </row>
    <row r="138" spans="1:2" ht="15.75" customHeight="1" x14ac:dyDescent="0.25">
      <c r="A138" s="51"/>
      <c r="B138" s="14"/>
    </row>
    <row r="139" spans="1:2" ht="15.75" customHeight="1" x14ac:dyDescent="0.25">
      <c r="A139" s="51"/>
      <c r="B139" s="14"/>
    </row>
    <row r="140" spans="1:2" ht="15.75" customHeight="1" x14ac:dyDescent="0.25">
      <c r="A140" s="51"/>
      <c r="B140" s="14"/>
    </row>
    <row r="141" spans="1:2" ht="15.75" customHeight="1" x14ac:dyDescent="0.25">
      <c r="A141" s="51"/>
      <c r="B141" s="14"/>
    </row>
    <row r="142" spans="1:2" ht="15.75" customHeight="1" x14ac:dyDescent="0.25">
      <c r="A142" s="51"/>
      <c r="B142" s="14"/>
    </row>
    <row r="143" spans="1:2" ht="15.75" customHeight="1" x14ac:dyDescent="0.25">
      <c r="A143" s="51"/>
      <c r="B143" s="14"/>
    </row>
    <row r="144" spans="1:2" ht="15.75" customHeight="1" x14ac:dyDescent="0.25">
      <c r="A144" s="51"/>
    </row>
    <row r="145" spans="1:2" ht="15.75" customHeight="1" x14ac:dyDescent="0.25">
      <c r="A145" s="51"/>
      <c r="B145" s="14"/>
    </row>
    <row r="146" spans="1:2" ht="15.75" customHeight="1" x14ac:dyDescent="0.25">
      <c r="A146" s="51"/>
    </row>
    <row r="147" spans="1:2" ht="15.75" customHeight="1" x14ac:dyDescent="0.25">
      <c r="A147" s="51"/>
    </row>
    <row r="148" spans="1:2" ht="15.75" customHeight="1" x14ac:dyDescent="0.25"/>
    <row r="149" spans="1:2" ht="15.75" customHeight="1" x14ac:dyDescent="0.25"/>
    <row r="150" spans="1:2" ht="15.75" customHeight="1" x14ac:dyDescent="0.25"/>
    <row r="151" spans="1:2" ht="15.75" customHeight="1" x14ac:dyDescent="0.25"/>
    <row r="152" spans="1:2" ht="15.75" customHeight="1" x14ac:dyDescent="0.25"/>
    <row r="153" spans="1:2" ht="15.75" customHeight="1" x14ac:dyDescent="0.25"/>
    <row r="154" spans="1:2" ht="15.75" customHeight="1" x14ac:dyDescent="0.25"/>
    <row r="155" spans="1:2" ht="15.75" customHeight="1" x14ac:dyDescent="0.25"/>
    <row r="156" spans="1:2" ht="15.75" customHeight="1" x14ac:dyDescent="0.25"/>
    <row r="157" spans="1:2" ht="15.75" customHeight="1" x14ac:dyDescent="0.25"/>
    <row r="158" spans="1:2" ht="15.75" customHeight="1" x14ac:dyDescent="0.25"/>
    <row r="159" spans="1:2" ht="15.75" customHeight="1" x14ac:dyDescent="0.25"/>
    <row r="160" spans="1:2" ht="15.75" customHeight="1" x14ac:dyDescent="0.25"/>
    <row r="161" spans="1:1" ht="15.75" customHeight="1" x14ac:dyDescent="0.25">
      <c r="A161" s="51"/>
    </row>
    <row r="162" spans="1:1" ht="15.75" customHeight="1" x14ac:dyDescent="0.25"/>
    <row r="163" spans="1:1" ht="15.75" customHeight="1" x14ac:dyDescent="0.25"/>
    <row r="164" spans="1:1" ht="15.75" customHeight="1" x14ac:dyDescent="0.25"/>
    <row r="165" spans="1:1" ht="15.75" customHeight="1" x14ac:dyDescent="0.25"/>
    <row r="166" spans="1:1" ht="15.75" customHeight="1" x14ac:dyDescent="0.25"/>
    <row r="167" spans="1:1" ht="15.75" customHeight="1" x14ac:dyDescent="0.25"/>
    <row r="168" spans="1:1" ht="15.75" customHeight="1" x14ac:dyDescent="0.25"/>
    <row r="169" spans="1:1" ht="15.75" customHeight="1" x14ac:dyDescent="0.25"/>
    <row r="170" spans="1:1" ht="15.75" customHeight="1" x14ac:dyDescent="0.25"/>
    <row r="171" spans="1:1" ht="15.75" customHeight="1" x14ac:dyDescent="0.25"/>
    <row r="172" spans="1:1" ht="15.75" customHeight="1" x14ac:dyDescent="0.25"/>
    <row r="173" spans="1:1" ht="15.75" customHeight="1" x14ac:dyDescent="0.25"/>
    <row r="174" spans="1:1" ht="15.75" customHeight="1" x14ac:dyDescent="0.25"/>
    <row r="175" spans="1:1" ht="15.75" customHeight="1" x14ac:dyDescent="0.25"/>
    <row r="176" spans="1:1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mergeCells count="4">
    <mergeCell ref="A9:A10"/>
    <mergeCell ref="B74:C74"/>
    <mergeCell ref="D74:E74"/>
    <mergeCell ref="F80:G80"/>
  </mergeCells>
  <printOptions gridLines="1"/>
  <pageMargins left="0.7" right="0.7" top="0.75" bottom="0.75" header="0" footer="0"/>
  <pageSetup orientation="landscape"/>
  <rowBreaks count="2" manualBreakCount="2">
    <brk id="36" man="1"/>
    <brk id="7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996"/>
  <sheetViews>
    <sheetView workbookViewId="0"/>
  </sheetViews>
  <sheetFormatPr defaultColWidth="14.42578125" defaultRowHeight="15" customHeight="1" x14ac:dyDescent="0.25"/>
  <cols>
    <col min="1" max="1" width="16.7109375" customWidth="1"/>
    <col min="3" max="3" width="16" customWidth="1"/>
    <col min="4" max="4" width="16.140625" customWidth="1"/>
    <col min="5" max="5" width="16.7109375" customWidth="1"/>
    <col min="6" max="6" width="13.28515625" customWidth="1"/>
    <col min="7" max="7" width="14.5703125" customWidth="1"/>
    <col min="9" max="14" width="14.140625" customWidth="1"/>
    <col min="15" max="15" width="12.85546875" customWidth="1"/>
    <col min="16" max="16" width="12.5703125" customWidth="1"/>
    <col min="17" max="17" width="8.7109375" customWidth="1"/>
    <col min="18" max="18" width="13.42578125" customWidth="1"/>
    <col min="19" max="31" width="8.7109375" customWidth="1"/>
  </cols>
  <sheetData>
    <row r="1" spans="1:31" x14ac:dyDescent="0.25">
      <c r="A1" s="1" t="s">
        <v>116</v>
      </c>
      <c r="B1" s="1"/>
      <c r="C1" s="1"/>
      <c r="D1" s="1"/>
      <c r="E1" s="1"/>
      <c r="F1" s="1"/>
      <c r="G1" s="1"/>
    </row>
    <row r="2" spans="1:31" x14ac:dyDescent="0.2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ht="26.25" x14ac:dyDescent="0.25">
      <c r="A3" s="6" t="s">
        <v>14</v>
      </c>
      <c r="B3" s="6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G3" s="7" t="s">
        <v>117</v>
      </c>
      <c r="H3" s="7" t="s">
        <v>21</v>
      </c>
      <c r="I3" s="7" t="s">
        <v>22</v>
      </c>
      <c r="J3" s="7" t="s">
        <v>23</v>
      </c>
      <c r="K3" s="7" t="s">
        <v>24</v>
      </c>
      <c r="L3" s="7" t="s">
        <v>25</v>
      </c>
      <c r="M3" s="7" t="s">
        <v>26</v>
      </c>
      <c r="N3" s="7" t="s">
        <v>27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x14ac:dyDescent="0.25">
      <c r="A4" s="8" t="s">
        <v>28</v>
      </c>
      <c r="B4" s="9">
        <v>42602.940000000039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>
        <v>43127.5</v>
      </c>
      <c r="N4" s="10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x14ac:dyDescent="0.25">
      <c r="A5" s="8" t="s">
        <v>78</v>
      </c>
      <c r="B5" s="9">
        <v>2700192.27</v>
      </c>
      <c r="C5" s="12">
        <v>646549.87000000011</v>
      </c>
      <c r="D5" s="12">
        <v>616914.66999999981</v>
      </c>
      <c r="E5" s="12">
        <v>794785.69</v>
      </c>
      <c r="F5" s="12">
        <v>62914.390000000007</v>
      </c>
      <c r="G5" s="10">
        <v>0</v>
      </c>
      <c r="H5" s="10">
        <v>0</v>
      </c>
      <c r="I5" s="10">
        <v>108505.94</v>
      </c>
      <c r="J5" s="10">
        <v>250301.40000000002</v>
      </c>
      <c r="K5" s="10">
        <v>54472.659999999996</v>
      </c>
      <c r="L5" s="10">
        <v>145871.88999999998</v>
      </c>
      <c r="M5" s="10"/>
      <c r="N5" s="10">
        <v>19875.759999999998</v>
      </c>
      <c r="O5" s="13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x14ac:dyDescent="0.25">
      <c r="A6" s="8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4"/>
      <c r="AA6" s="5"/>
      <c r="AB6" s="5"/>
    </row>
    <row r="7" spans="1:31" x14ac:dyDescent="0.25">
      <c r="A7" s="1" t="s">
        <v>32</v>
      </c>
      <c r="B7" s="15">
        <f t="shared" ref="B7:N7" si="0">SUM(B4:B6)</f>
        <v>2742795.21</v>
      </c>
      <c r="C7" s="15">
        <f t="shared" si="0"/>
        <v>646549.87000000011</v>
      </c>
      <c r="D7" s="15">
        <f t="shared" si="0"/>
        <v>616914.66999999981</v>
      </c>
      <c r="E7" s="15">
        <f t="shared" si="0"/>
        <v>794785.69</v>
      </c>
      <c r="F7" s="15">
        <f t="shared" si="0"/>
        <v>62914.390000000007</v>
      </c>
      <c r="G7" s="15">
        <f t="shared" si="0"/>
        <v>0</v>
      </c>
      <c r="H7" s="15">
        <f t="shared" si="0"/>
        <v>0</v>
      </c>
      <c r="I7" s="15">
        <f t="shared" si="0"/>
        <v>108505.94</v>
      </c>
      <c r="J7" s="15">
        <f t="shared" si="0"/>
        <v>250301.40000000002</v>
      </c>
      <c r="K7" s="15">
        <f t="shared" si="0"/>
        <v>54472.659999999996</v>
      </c>
      <c r="L7" s="15">
        <f t="shared" si="0"/>
        <v>145871.88999999998</v>
      </c>
      <c r="M7" s="15">
        <f t="shared" si="0"/>
        <v>43127.5</v>
      </c>
      <c r="N7" s="15">
        <f t="shared" si="0"/>
        <v>19875.759999999998</v>
      </c>
      <c r="AA7" s="5"/>
      <c r="AB7" s="5"/>
    </row>
    <row r="8" spans="1:31" x14ac:dyDescent="0.25">
      <c r="A8" s="1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4"/>
      <c r="AA8" s="5"/>
      <c r="AB8" s="5"/>
    </row>
    <row r="9" spans="1:31" x14ac:dyDescent="0.25">
      <c r="A9" s="67" t="s">
        <v>33</v>
      </c>
      <c r="B9" s="16"/>
      <c r="C9" s="17" t="s">
        <v>3</v>
      </c>
      <c r="D9" s="17" t="s">
        <v>4</v>
      </c>
      <c r="E9" s="17" t="s">
        <v>5</v>
      </c>
      <c r="F9" s="17" t="s">
        <v>6</v>
      </c>
      <c r="G9" s="17" t="s">
        <v>118</v>
      </c>
      <c r="H9" s="17" t="s">
        <v>35</v>
      </c>
      <c r="I9" s="17" t="s">
        <v>8</v>
      </c>
      <c r="J9" s="17" t="s">
        <v>36</v>
      </c>
      <c r="K9" s="17" t="s">
        <v>37</v>
      </c>
      <c r="L9" s="17" t="s">
        <v>38</v>
      </c>
      <c r="M9" s="17" t="s">
        <v>12</v>
      </c>
      <c r="N9" s="17" t="s">
        <v>13</v>
      </c>
      <c r="AA9" s="5"/>
      <c r="AB9" s="5"/>
    </row>
    <row r="10" spans="1:31" x14ac:dyDescent="0.25">
      <c r="A10" s="68"/>
      <c r="B10" s="16">
        <f>SUM(C10:N10)</f>
        <v>2743319.77</v>
      </c>
      <c r="C10" s="18">
        <f t="shared" ref="C10:N10" si="1">C7</f>
        <v>646549.87000000011</v>
      </c>
      <c r="D10" s="18">
        <f t="shared" si="1"/>
        <v>616914.66999999981</v>
      </c>
      <c r="E10" s="18">
        <f t="shared" si="1"/>
        <v>794785.69</v>
      </c>
      <c r="F10" s="18">
        <f t="shared" si="1"/>
        <v>62914.390000000007</v>
      </c>
      <c r="G10" s="18">
        <f t="shared" si="1"/>
        <v>0</v>
      </c>
      <c r="H10" s="18">
        <f t="shared" si="1"/>
        <v>0</v>
      </c>
      <c r="I10" s="18">
        <f t="shared" si="1"/>
        <v>108505.94</v>
      </c>
      <c r="J10" s="18">
        <f t="shared" si="1"/>
        <v>250301.40000000002</v>
      </c>
      <c r="K10" s="18">
        <f t="shared" si="1"/>
        <v>54472.659999999996</v>
      </c>
      <c r="L10" s="18">
        <f t="shared" si="1"/>
        <v>145871.88999999998</v>
      </c>
      <c r="M10" s="18">
        <f t="shared" si="1"/>
        <v>43127.5</v>
      </c>
      <c r="N10" s="18">
        <f t="shared" si="1"/>
        <v>19875.759999999998</v>
      </c>
      <c r="O10" s="14"/>
      <c r="AA10" s="5"/>
      <c r="AB10" s="5"/>
    </row>
    <row r="11" spans="1:31" x14ac:dyDescent="0.25">
      <c r="A11" s="19" t="s">
        <v>39</v>
      </c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AA11" s="5"/>
      <c r="AB11" s="5"/>
    </row>
    <row r="12" spans="1:31" x14ac:dyDescent="0.25">
      <c r="A12" s="21" t="s">
        <v>119</v>
      </c>
      <c r="B12" s="10"/>
      <c r="C12" s="10">
        <v>16729.39</v>
      </c>
      <c r="D12" s="10">
        <v>117936.88</v>
      </c>
      <c r="E12" s="10">
        <v>65940.210000000006</v>
      </c>
      <c r="F12" s="10"/>
      <c r="G12" s="10"/>
      <c r="H12" s="10"/>
      <c r="I12" s="10"/>
      <c r="J12" s="10"/>
      <c r="K12" s="10"/>
      <c r="L12" s="10"/>
      <c r="M12" s="10"/>
      <c r="N12" s="10"/>
      <c r="O12" s="14"/>
      <c r="AA12" s="5"/>
      <c r="AB12" s="5"/>
    </row>
    <row r="13" spans="1:31" x14ac:dyDescent="0.25">
      <c r="A13" s="20" t="s">
        <v>41</v>
      </c>
      <c r="B13" s="10"/>
      <c r="C13" s="10"/>
      <c r="D13" s="10"/>
      <c r="E13" s="10"/>
      <c r="F13" s="10"/>
      <c r="AA13" s="5"/>
      <c r="AB13" s="5"/>
    </row>
    <row r="14" spans="1:31" x14ac:dyDescent="0.25">
      <c r="A14" s="21" t="s">
        <v>42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4"/>
      <c r="AA14" s="5"/>
      <c r="AB14" s="5"/>
    </row>
    <row r="15" spans="1:31" x14ac:dyDescent="0.25">
      <c r="A15" s="21" t="s">
        <v>43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22"/>
      <c r="P15" s="22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5"/>
      <c r="AB15" s="5"/>
      <c r="AC15" s="23"/>
      <c r="AD15" s="23"/>
      <c r="AE15" s="23"/>
    </row>
    <row r="16" spans="1:31" x14ac:dyDescent="0.25">
      <c r="A16" s="21" t="s">
        <v>44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22"/>
      <c r="P16" s="22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5"/>
      <c r="AB16" s="5"/>
      <c r="AC16" s="23"/>
      <c r="AD16" s="23"/>
      <c r="AE16" s="23"/>
    </row>
    <row r="17" spans="1:29" x14ac:dyDescent="0.25">
      <c r="A17" s="21" t="s">
        <v>45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AA17" s="5"/>
      <c r="AB17" s="5"/>
    </row>
    <row r="18" spans="1:29" x14ac:dyDescent="0.25">
      <c r="A18" s="21" t="s">
        <v>46</v>
      </c>
      <c r="B18" s="10"/>
      <c r="C18" s="10"/>
      <c r="D18" s="10"/>
      <c r="E18" s="10"/>
      <c r="G18" s="10"/>
      <c r="H18" s="10"/>
      <c r="I18" s="10"/>
      <c r="J18" s="10"/>
      <c r="K18" s="10"/>
      <c r="L18" s="10"/>
      <c r="M18" s="10"/>
      <c r="N18" s="10"/>
      <c r="AA18" s="5"/>
      <c r="AB18" s="5"/>
    </row>
    <row r="19" spans="1:29" ht="15.75" customHeight="1" x14ac:dyDescent="0.25">
      <c r="A19" s="21" t="s">
        <v>47</v>
      </c>
      <c r="B19" s="10"/>
      <c r="C19" s="10"/>
      <c r="D19" s="10"/>
      <c r="E19" s="10"/>
      <c r="F19" s="10"/>
      <c r="H19" s="24"/>
      <c r="I19" s="24"/>
      <c r="J19" s="10"/>
      <c r="K19" s="10"/>
      <c r="L19" s="10"/>
      <c r="M19" s="10"/>
      <c r="N19" s="10"/>
      <c r="O19" s="25"/>
      <c r="P19" s="25"/>
      <c r="Q19" s="25"/>
      <c r="AA19" s="5"/>
      <c r="AB19" s="5"/>
    </row>
    <row r="20" spans="1:29" ht="15.75" customHeight="1" x14ac:dyDescent="0.25">
      <c r="A20" s="1" t="s">
        <v>48</v>
      </c>
      <c r="B20" s="26">
        <f t="shared" ref="B20:B22" si="2">SUM(C20:N20)</f>
        <v>200606.48000000004</v>
      </c>
      <c r="C20" s="9">
        <f t="shared" ref="C20:N20" si="3">SUM(C12:C19)</f>
        <v>16729.39</v>
      </c>
      <c r="D20" s="9">
        <f t="shared" si="3"/>
        <v>117936.88</v>
      </c>
      <c r="E20" s="9">
        <f t="shared" si="3"/>
        <v>65940.210000000006</v>
      </c>
      <c r="F20" s="9">
        <f t="shared" si="3"/>
        <v>0</v>
      </c>
      <c r="G20" s="9">
        <f t="shared" si="3"/>
        <v>0</v>
      </c>
      <c r="H20" s="9">
        <f t="shared" si="3"/>
        <v>0</v>
      </c>
      <c r="I20" s="9">
        <f t="shared" si="3"/>
        <v>0</v>
      </c>
      <c r="J20" s="9">
        <f t="shared" si="3"/>
        <v>0</v>
      </c>
      <c r="K20" s="9">
        <f t="shared" si="3"/>
        <v>0</v>
      </c>
      <c r="L20" s="9">
        <f t="shared" si="3"/>
        <v>0</v>
      </c>
      <c r="M20" s="9">
        <f t="shared" si="3"/>
        <v>0</v>
      </c>
      <c r="N20" s="9">
        <f t="shared" si="3"/>
        <v>0</v>
      </c>
      <c r="O20" s="10"/>
      <c r="P20" s="10"/>
      <c r="Q20" s="10"/>
      <c r="AA20" s="5"/>
      <c r="AB20" s="5"/>
    </row>
    <row r="21" spans="1:29" ht="15.75" customHeight="1" x14ac:dyDescent="0.25">
      <c r="A21" s="1" t="s">
        <v>49</v>
      </c>
      <c r="B21" s="26">
        <f t="shared" si="2"/>
        <v>7988.6899999999987</v>
      </c>
      <c r="C21" s="10">
        <v>1928.84</v>
      </c>
      <c r="D21" s="10">
        <v>1819.77</v>
      </c>
      <c r="E21" s="10">
        <v>2355.34</v>
      </c>
      <c r="F21" s="10">
        <v>201.37</v>
      </c>
      <c r="G21" s="21"/>
      <c r="H21" s="21"/>
      <c r="I21" s="21">
        <v>315.45</v>
      </c>
      <c r="J21" s="21">
        <v>727.69</v>
      </c>
      <c r="K21" s="21">
        <v>216.15</v>
      </c>
      <c r="L21" s="21">
        <v>424.08</v>
      </c>
      <c r="M21" s="21"/>
      <c r="N21" s="21"/>
      <c r="O21" s="10"/>
      <c r="P21" s="10"/>
      <c r="Q21" s="10"/>
      <c r="AA21" s="5"/>
      <c r="AB21" s="5"/>
    </row>
    <row r="22" spans="1:29" ht="15.75" customHeight="1" x14ac:dyDescent="0.25">
      <c r="A22" s="1" t="s">
        <v>50</v>
      </c>
      <c r="B22" s="26">
        <f t="shared" si="2"/>
        <v>150142.03999999998</v>
      </c>
      <c r="C22" s="10">
        <v>30511.17</v>
      </c>
      <c r="D22" s="10">
        <v>357.78</v>
      </c>
      <c r="E22" s="10">
        <v>114213.48</v>
      </c>
      <c r="F22" s="10">
        <v>2782.61</v>
      </c>
      <c r="G22" s="10">
        <v>2277</v>
      </c>
      <c r="H22" s="10"/>
      <c r="I22" s="10"/>
      <c r="J22" s="10"/>
      <c r="K22" s="10"/>
      <c r="L22" s="10"/>
      <c r="M22" s="10"/>
      <c r="N22" s="10"/>
      <c r="O22" s="14"/>
      <c r="P22" s="14"/>
      <c r="Q22" s="14"/>
      <c r="R22" s="14"/>
      <c r="AA22" s="5"/>
      <c r="AB22" s="5"/>
    </row>
    <row r="23" spans="1:29" ht="15.75" customHeight="1" x14ac:dyDescent="0.25">
      <c r="A23" s="1" t="s">
        <v>114</v>
      </c>
      <c r="B23" s="9">
        <f>C23+D23+E23+F23+I23</f>
        <v>19.12</v>
      </c>
      <c r="C23" s="10">
        <v>19.12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4"/>
      <c r="P23" s="14"/>
      <c r="Q23" s="14"/>
      <c r="R23" s="14"/>
      <c r="AA23" s="5"/>
      <c r="AB23" s="5"/>
    </row>
    <row r="24" spans="1:29" ht="15.75" customHeight="1" x14ac:dyDescent="0.25">
      <c r="A24" s="1" t="s">
        <v>46</v>
      </c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4"/>
      <c r="P24" s="14"/>
      <c r="Q24" s="14"/>
      <c r="R24" s="14"/>
      <c r="AA24" s="5"/>
      <c r="AB24" s="5"/>
    </row>
    <row r="25" spans="1:29" ht="15.75" customHeight="1" x14ac:dyDescent="0.25">
      <c r="A25" s="1" t="s">
        <v>52</v>
      </c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R25" s="14"/>
      <c r="AA25" s="5"/>
    </row>
    <row r="26" spans="1:29" ht="15.75" customHeight="1" x14ac:dyDescent="0.25">
      <c r="A26" s="1" t="s">
        <v>53</v>
      </c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R26" s="14"/>
      <c r="AA26" s="5"/>
    </row>
    <row r="27" spans="1:29" ht="15.75" customHeight="1" x14ac:dyDescent="0.25">
      <c r="A27" s="1" t="s">
        <v>54</v>
      </c>
      <c r="B27" s="9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R27" s="14"/>
      <c r="AA27" s="5"/>
    </row>
    <row r="28" spans="1:29" ht="15.75" customHeight="1" x14ac:dyDescent="0.25">
      <c r="A28" s="1" t="s">
        <v>47</v>
      </c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R28" s="14"/>
      <c r="AC28" s="27"/>
    </row>
    <row r="29" spans="1:29" ht="15.75" customHeight="1" x14ac:dyDescent="0.25">
      <c r="A29" s="1" t="s">
        <v>55</v>
      </c>
      <c r="B29" s="26">
        <f>SUM(C29:N29)</f>
        <v>150161.15999999997</v>
      </c>
      <c r="C29" s="10">
        <f t="shared" ref="C29:N29" si="4">SUM(C22:C28)</f>
        <v>30530.289999999997</v>
      </c>
      <c r="D29" s="10">
        <f t="shared" si="4"/>
        <v>357.78</v>
      </c>
      <c r="E29" s="10">
        <f t="shared" si="4"/>
        <v>114213.48</v>
      </c>
      <c r="F29" s="10">
        <f t="shared" si="4"/>
        <v>2782.61</v>
      </c>
      <c r="G29" s="10">
        <f t="shared" si="4"/>
        <v>2277</v>
      </c>
      <c r="H29" s="10">
        <f t="shared" si="4"/>
        <v>0</v>
      </c>
      <c r="I29" s="10">
        <f t="shared" si="4"/>
        <v>0</v>
      </c>
      <c r="J29" s="10">
        <f t="shared" si="4"/>
        <v>0</v>
      </c>
      <c r="K29" s="10">
        <f t="shared" si="4"/>
        <v>0</v>
      </c>
      <c r="L29" s="10">
        <f t="shared" si="4"/>
        <v>0</v>
      </c>
      <c r="M29" s="10">
        <f t="shared" si="4"/>
        <v>0</v>
      </c>
      <c r="N29" s="10">
        <f t="shared" si="4"/>
        <v>0</v>
      </c>
      <c r="R29" s="14"/>
    </row>
    <row r="30" spans="1:29" ht="15.75" customHeight="1" x14ac:dyDescent="0.25">
      <c r="A30" s="1" t="s">
        <v>56</v>
      </c>
      <c r="B30" s="26">
        <f>C30+E30+D30</f>
        <v>14055.670000000002</v>
      </c>
      <c r="C30" s="10">
        <v>5793.63</v>
      </c>
      <c r="D30" s="10">
        <v>853.2</v>
      </c>
      <c r="E30" s="10">
        <v>7408.84</v>
      </c>
      <c r="F30" s="10"/>
      <c r="H30" s="25"/>
      <c r="I30" s="25"/>
      <c r="J30" s="25"/>
      <c r="K30" s="25"/>
      <c r="L30" s="25"/>
      <c r="M30" s="25"/>
      <c r="N30" s="25"/>
    </row>
    <row r="31" spans="1:29" ht="15.75" customHeight="1" x14ac:dyDescent="0.25">
      <c r="A31" s="1" t="s">
        <v>56</v>
      </c>
      <c r="B31" s="26">
        <f t="shared" ref="B31:B33" si="5">SUM(C31:G31)</f>
        <v>24107.409999999996</v>
      </c>
      <c r="C31" s="10">
        <v>15816.9</v>
      </c>
      <c r="D31" s="10">
        <v>1232.27</v>
      </c>
      <c r="E31" s="10">
        <v>2584.64</v>
      </c>
      <c r="F31" s="10">
        <v>4473.6000000000004</v>
      </c>
    </row>
    <row r="32" spans="1:29" ht="15.75" customHeight="1" x14ac:dyDescent="0.25">
      <c r="A32" s="1" t="s">
        <v>56</v>
      </c>
      <c r="B32" s="26">
        <f t="shared" si="5"/>
        <v>0</v>
      </c>
      <c r="C32" s="10"/>
      <c r="D32" s="10"/>
      <c r="E32" s="10"/>
    </row>
    <row r="33" spans="1:15" ht="15.75" customHeight="1" x14ac:dyDescent="0.25">
      <c r="A33" s="1" t="s">
        <v>56</v>
      </c>
      <c r="B33" s="26">
        <f t="shared" si="5"/>
        <v>0</v>
      </c>
      <c r="C33" s="10"/>
      <c r="D33" s="10"/>
      <c r="E33" s="10"/>
    </row>
    <row r="34" spans="1:15" ht="15.75" customHeight="1" x14ac:dyDescent="0.25">
      <c r="A34" s="1" t="s">
        <v>57</v>
      </c>
      <c r="B34" s="15">
        <f t="shared" ref="B34:B35" si="6">SUM(C34:N34)</f>
        <v>2763614.2599999993</v>
      </c>
      <c r="C34" s="12">
        <f t="shared" ref="C34:E34" si="7">C10+C20+C21-C31-C29-C30-C32-C33</f>
        <v>613067.28</v>
      </c>
      <c r="D34" s="12">
        <f t="shared" si="7"/>
        <v>734228.06999999983</v>
      </c>
      <c r="E34" s="12">
        <f t="shared" si="7"/>
        <v>738874.27999999991</v>
      </c>
      <c r="F34" s="12">
        <f>F10+F20+F21-F29-F30-F31-F32</f>
        <v>55859.55000000001</v>
      </c>
      <c r="G34" s="12">
        <f t="shared" ref="G34:L34" si="8">G10+G20+G21-G31-G29-G30-G32</f>
        <v>-2277</v>
      </c>
      <c r="H34" s="12">
        <f t="shared" si="8"/>
        <v>0</v>
      </c>
      <c r="I34" s="12">
        <f t="shared" si="8"/>
        <v>108821.39</v>
      </c>
      <c r="J34" s="12">
        <f t="shared" si="8"/>
        <v>251029.09000000003</v>
      </c>
      <c r="K34" s="12">
        <f t="shared" si="8"/>
        <v>54688.81</v>
      </c>
      <c r="L34" s="12">
        <f t="shared" si="8"/>
        <v>146295.96999999997</v>
      </c>
      <c r="M34" s="12">
        <f>B57-M29</f>
        <v>43151.05999999999</v>
      </c>
      <c r="N34" s="12">
        <f>N10+N20+N21-N31-N29-N30-N32</f>
        <v>19875.759999999998</v>
      </c>
    </row>
    <row r="35" spans="1:15" ht="15.75" customHeight="1" x14ac:dyDescent="0.25">
      <c r="A35" s="1" t="s">
        <v>120</v>
      </c>
      <c r="B35" s="9">
        <f t="shared" si="6"/>
        <v>2757497.89</v>
      </c>
      <c r="C35" s="12">
        <f>219720.27+9091.86+379267.6</f>
        <v>608079.73</v>
      </c>
      <c r="D35" s="12">
        <f>400881.34+184435.27+148911.46</f>
        <v>734228.07</v>
      </c>
      <c r="E35" s="12">
        <f>167441.5+28592.54+543079.3</f>
        <v>739113.34000000008</v>
      </c>
      <c r="F35" s="12">
        <f>260.46+55599.09</f>
        <v>55859.549999999996</v>
      </c>
      <c r="G35" s="12">
        <v>-2277</v>
      </c>
      <c r="H35" s="12">
        <v>0</v>
      </c>
      <c r="I35" s="12">
        <f>107485.17+1336.22</f>
        <v>108821.39</v>
      </c>
      <c r="J35" s="12">
        <f>249535.26+1493.83</f>
        <v>251029.09</v>
      </c>
      <c r="K35" s="12">
        <f>45324.43+9364.38</f>
        <v>54688.81</v>
      </c>
      <c r="L35" s="12">
        <f>3498.18+46973+95824.79</f>
        <v>146295.97</v>
      </c>
      <c r="M35" s="12">
        <v>41783.18</v>
      </c>
      <c r="N35" s="12">
        <v>19875.759999999998</v>
      </c>
    </row>
    <row r="36" spans="1:15" ht="15.75" customHeight="1" x14ac:dyDescent="0.25">
      <c r="A36" s="1" t="s">
        <v>59</v>
      </c>
      <c r="B36" s="9">
        <f t="shared" ref="B36:N36" si="9">B35-B34</f>
        <v>-6116.3699999991804</v>
      </c>
      <c r="C36" s="9">
        <f t="shared" si="9"/>
        <v>-4987.5500000000466</v>
      </c>
      <c r="D36" s="9">
        <f t="shared" si="9"/>
        <v>0</v>
      </c>
      <c r="E36" s="9">
        <f t="shared" si="9"/>
        <v>239.06000000017229</v>
      </c>
      <c r="F36" s="9">
        <f t="shared" si="9"/>
        <v>0</v>
      </c>
      <c r="G36" s="9">
        <f t="shared" si="9"/>
        <v>0</v>
      </c>
      <c r="H36" s="9">
        <f t="shared" si="9"/>
        <v>0</v>
      </c>
      <c r="I36" s="9">
        <f t="shared" si="9"/>
        <v>0</v>
      </c>
      <c r="J36" s="9">
        <f t="shared" si="9"/>
        <v>0</v>
      </c>
      <c r="K36" s="9">
        <f t="shared" si="9"/>
        <v>0</v>
      </c>
      <c r="L36" s="9">
        <f t="shared" si="9"/>
        <v>0</v>
      </c>
      <c r="M36" s="9">
        <f t="shared" si="9"/>
        <v>-1367.8799999999901</v>
      </c>
      <c r="N36" s="9">
        <f t="shared" si="9"/>
        <v>0</v>
      </c>
      <c r="O36" s="12"/>
    </row>
    <row r="37" spans="1:15" ht="15.75" customHeight="1" x14ac:dyDescent="0.25">
      <c r="A37" s="28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5" ht="15.75" customHeight="1" x14ac:dyDescent="0.25">
      <c r="A38" s="29" t="s">
        <v>61</v>
      </c>
      <c r="B38" s="16">
        <f>M7</f>
        <v>43127.5</v>
      </c>
      <c r="C38" s="17" t="s">
        <v>3</v>
      </c>
      <c r="D38" s="17" t="s">
        <v>4</v>
      </c>
      <c r="E38" s="17" t="s">
        <v>5</v>
      </c>
      <c r="F38" s="17" t="s">
        <v>6</v>
      </c>
      <c r="G38" s="17" t="s">
        <v>118</v>
      </c>
      <c r="H38" s="17" t="s">
        <v>35</v>
      </c>
      <c r="I38" s="17" t="s">
        <v>8</v>
      </c>
      <c r="J38" s="17" t="s">
        <v>36</v>
      </c>
      <c r="K38" s="17" t="s">
        <v>37</v>
      </c>
      <c r="L38" s="17" t="s">
        <v>38</v>
      </c>
      <c r="M38" s="17" t="s">
        <v>12</v>
      </c>
      <c r="N38" s="17" t="s">
        <v>13</v>
      </c>
    </row>
    <row r="39" spans="1:15" ht="15.75" customHeight="1" x14ac:dyDescent="0.25">
      <c r="A39" s="19" t="s">
        <v>62</v>
      </c>
      <c r="B39" s="10">
        <f>C39+E39+D39</f>
        <v>14055.670000000002</v>
      </c>
      <c r="C39" s="10">
        <v>5793.63</v>
      </c>
      <c r="D39" s="10">
        <v>853.2</v>
      </c>
      <c r="E39" s="10">
        <v>7408.84</v>
      </c>
      <c r="F39" s="10"/>
      <c r="H39" s="25"/>
      <c r="I39" s="25"/>
      <c r="J39" s="25"/>
      <c r="K39" s="25"/>
      <c r="L39" s="25"/>
      <c r="M39" s="25"/>
      <c r="N39" s="25"/>
    </row>
    <row r="40" spans="1:15" ht="15.75" customHeight="1" x14ac:dyDescent="0.25">
      <c r="A40" s="10"/>
      <c r="B40" s="10">
        <f t="shared" ref="B40:B43" si="10">C40+D40+E40</f>
        <v>19633.809999999998</v>
      </c>
      <c r="C40" s="10">
        <v>15816.9</v>
      </c>
      <c r="D40" s="10">
        <v>1232.27</v>
      </c>
      <c r="E40" s="10">
        <v>2584.64</v>
      </c>
      <c r="F40" s="10">
        <v>4473.6000000000004</v>
      </c>
      <c r="H40" s="25"/>
      <c r="I40" s="25"/>
      <c r="J40" s="25"/>
      <c r="K40" s="25"/>
      <c r="L40" s="25"/>
      <c r="M40" s="25"/>
      <c r="N40" s="25"/>
    </row>
    <row r="41" spans="1:15" ht="15.75" customHeight="1" x14ac:dyDescent="0.25">
      <c r="A41" s="21"/>
      <c r="B41" s="10">
        <f t="shared" si="10"/>
        <v>0</v>
      </c>
      <c r="C41" s="10"/>
      <c r="D41" s="10"/>
      <c r="E41" s="10"/>
      <c r="H41" s="25"/>
      <c r="I41" s="25"/>
      <c r="J41" s="25"/>
      <c r="K41" s="25"/>
      <c r="L41" s="25"/>
      <c r="M41" s="25"/>
      <c r="N41" s="25"/>
    </row>
    <row r="42" spans="1:15" ht="15.75" customHeight="1" x14ac:dyDescent="0.25">
      <c r="A42" s="21"/>
      <c r="B42" s="10">
        <f t="shared" si="10"/>
        <v>0</v>
      </c>
      <c r="C42" s="10"/>
      <c r="D42" s="10"/>
      <c r="E42" s="10"/>
      <c r="F42" s="10"/>
      <c r="H42" s="21"/>
      <c r="I42" s="21"/>
      <c r="J42" s="21"/>
      <c r="K42" s="21"/>
      <c r="L42" s="21"/>
      <c r="M42" s="21"/>
      <c r="N42" s="21"/>
    </row>
    <row r="43" spans="1:15" ht="15.75" customHeight="1" x14ac:dyDescent="0.25">
      <c r="A43" s="21"/>
      <c r="B43" s="10">
        <f t="shared" si="10"/>
        <v>0</v>
      </c>
      <c r="C43" s="10"/>
      <c r="D43" s="10"/>
      <c r="E43" s="10"/>
      <c r="F43" s="10"/>
      <c r="H43" s="21"/>
      <c r="I43" s="21"/>
      <c r="J43" s="21"/>
      <c r="K43" s="21"/>
      <c r="L43" s="21"/>
      <c r="M43" s="21"/>
      <c r="N43" s="21"/>
    </row>
    <row r="44" spans="1:15" ht="15.75" customHeight="1" x14ac:dyDescent="0.25">
      <c r="A44" s="1" t="s">
        <v>63</v>
      </c>
      <c r="B44" s="26">
        <f t="shared" ref="B44:B45" si="11">M44</f>
        <v>38163.079999999994</v>
      </c>
      <c r="C44" s="10">
        <f t="shared" ref="C44:L44" si="12">SUM(C39:C43)</f>
        <v>21610.53</v>
      </c>
      <c r="D44" s="10">
        <f t="shared" si="12"/>
        <v>2085.4700000000003</v>
      </c>
      <c r="E44" s="10">
        <f t="shared" si="12"/>
        <v>9993.48</v>
      </c>
      <c r="F44" s="10">
        <f t="shared" si="12"/>
        <v>4473.6000000000004</v>
      </c>
      <c r="G44" s="10">
        <f t="shared" si="12"/>
        <v>0</v>
      </c>
      <c r="H44" s="10">
        <f t="shared" si="12"/>
        <v>0</v>
      </c>
      <c r="I44" s="10">
        <f t="shared" si="12"/>
        <v>0</v>
      </c>
      <c r="J44" s="10">
        <f t="shared" si="12"/>
        <v>0</v>
      </c>
      <c r="K44" s="10">
        <f t="shared" si="12"/>
        <v>0</v>
      </c>
      <c r="L44" s="10">
        <f t="shared" si="12"/>
        <v>0</v>
      </c>
      <c r="M44" s="26">
        <f>SUM(C44:L44)</f>
        <v>38163.079999999994</v>
      </c>
      <c r="N44" s="9"/>
    </row>
    <row r="45" spans="1:15" ht="15.75" customHeight="1" x14ac:dyDescent="0.25">
      <c r="A45" s="1" t="s">
        <v>49</v>
      </c>
      <c r="B45" s="26">
        <f t="shared" si="11"/>
        <v>0</v>
      </c>
      <c r="D45" s="10"/>
      <c r="E45" s="10"/>
      <c r="F45" s="10"/>
      <c r="H45" s="9"/>
      <c r="I45" s="9"/>
      <c r="J45" s="9"/>
      <c r="K45" s="9"/>
      <c r="L45" s="9"/>
      <c r="M45" s="26"/>
      <c r="N45" s="9"/>
    </row>
    <row r="46" spans="1:15" ht="15.75" customHeight="1" x14ac:dyDescent="0.25">
      <c r="A46" s="1" t="s">
        <v>64</v>
      </c>
      <c r="B46" s="9"/>
      <c r="C46" s="10"/>
      <c r="D46" s="10"/>
      <c r="E46" s="10"/>
      <c r="F46" s="10"/>
      <c r="H46" s="10"/>
      <c r="I46" s="10"/>
      <c r="J46" s="10"/>
      <c r="K46" s="10"/>
      <c r="L46" s="10"/>
      <c r="M46" s="10"/>
      <c r="N46" s="10"/>
    </row>
    <row r="47" spans="1:15" ht="15.75" customHeight="1" x14ac:dyDescent="0.25">
      <c r="A47" s="21" t="s">
        <v>65</v>
      </c>
      <c r="C47" s="10"/>
      <c r="D47" s="10"/>
      <c r="E47" s="10"/>
      <c r="F47" s="10"/>
      <c r="H47" s="10"/>
      <c r="I47" s="10"/>
      <c r="J47" s="10"/>
      <c r="K47" s="10"/>
      <c r="L47" s="10"/>
      <c r="M47" s="10">
        <v>24272.87</v>
      </c>
      <c r="N47" s="10"/>
      <c r="O47" s="10"/>
    </row>
    <row r="48" spans="1:15" ht="15.75" customHeight="1" x14ac:dyDescent="0.25">
      <c r="A48" s="21" t="s">
        <v>66</v>
      </c>
      <c r="C48" s="10"/>
      <c r="D48" s="10"/>
      <c r="E48" s="10"/>
      <c r="F48" s="10"/>
      <c r="H48" s="10"/>
      <c r="I48" s="10"/>
      <c r="J48" s="10"/>
      <c r="K48" s="10"/>
      <c r="L48" s="10"/>
      <c r="M48" s="10">
        <v>1641.88</v>
      </c>
      <c r="N48" s="10"/>
    </row>
    <row r="49" spans="1:14" ht="15.75" customHeight="1" x14ac:dyDescent="0.25">
      <c r="A49" s="21" t="s">
        <v>67</v>
      </c>
      <c r="C49" s="10"/>
      <c r="D49" s="10"/>
      <c r="E49" s="10"/>
      <c r="F49" s="10"/>
      <c r="H49" s="10"/>
      <c r="I49" s="10"/>
      <c r="J49" s="10"/>
      <c r="K49" s="10"/>
      <c r="L49" s="10"/>
      <c r="M49" s="10">
        <v>7934.78</v>
      </c>
      <c r="N49" s="10"/>
    </row>
    <row r="50" spans="1:14" ht="15.75" customHeight="1" x14ac:dyDescent="0.25">
      <c r="A50" s="21" t="s">
        <v>68</v>
      </c>
      <c r="B50" s="10"/>
      <c r="C50" s="10"/>
      <c r="D50" s="10"/>
      <c r="E50" s="10"/>
      <c r="F50" s="10"/>
      <c r="H50" s="10"/>
      <c r="I50" s="10"/>
      <c r="J50" s="10"/>
      <c r="K50" s="10"/>
      <c r="L50" s="10"/>
      <c r="M50" s="10">
        <v>1176.5899999999999</v>
      </c>
      <c r="N50" s="10"/>
    </row>
    <row r="51" spans="1:14" ht="15.75" customHeight="1" x14ac:dyDescent="0.25">
      <c r="A51" s="21" t="s">
        <v>69</v>
      </c>
      <c r="B51" s="10"/>
      <c r="C51" s="10"/>
      <c r="D51" s="10"/>
      <c r="E51" s="10"/>
      <c r="F51" s="10"/>
      <c r="H51" s="10"/>
      <c r="I51" s="10"/>
      <c r="J51" s="10"/>
      <c r="K51" s="10"/>
      <c r="L51" s="10"/>
      <c r="M51" s="10">
        <v>185</v>
      </c>
      <c r="N51" s="10"/>
    </row>
    <row r="52" spans="1:14" ht="15.75" customHeight="1" x14ac:dyDescent="0.25">
      <c r="A52" s="21" t="s">
        <v>70</v>
      </c>
      <c r="B52" s="10"/>
      <c r="C52" s="10"/>
      <c r="D52" s="10"/>
      <c r="E52" s="10"/>
      <c r="F52" s="10"/>
      <c r="H52" s="10"/>
      <c r="I52" s="10"/>
      <c r="J52" s="10"/>
      <c r="K52" s="10"/>
      <c r="L52" s="10"/>
      <c r="M52" s="10">
        <v>1203.94</v>
      </c>
      <c r="N52" s="10"/>
    </row>
    <row r="53" spans="1:14" ht="15.75" customHeight="1" x14ac:dyDescent="0.25">
      <c r="A53" s="21" t="s">
        <v>71</v>
      </c>
      <c r="B53" s="10"/>
      <c r="C53" s="10"/>
      <c r="D53" s="10"/>
      <c r="E53" s="10"/>
      <c r="F53" s="10"/>
      <c r="H53" s="10"/>
      <c r="I53" s="10"/>
      <c r="J53" s="10"/>
      <c r="K53" s="10"/>
      <c r="L53" s="10"/>
      <c r="M53" s="10">
        <v>927.37</v>
      </c>
      <c r="N53" s="10"/>
    </row>
    <row r="54" spans="1:14" ht="15.75" customHeight="1" x14ac:dyDescent="0.25">
      <c r="A54" s="21" t="s">
        <v>72</v>
      </c>
      <c r="B54" s="10"/>
      <c r="C54" s="10"/>
      <c r="D54" s="10"/>
      <c r="E54" s="10"/>
      <c r="F54" s="10"/>
      <c r="H54" s="10"/>
      <c r="I54" s="10"/>
      <c r="J54" s="10"/>
      <c r="K54" s="10"/>
      <c r="L54" s="10"/>
      <c r="M54" s="10">
        <v>569.96</v>
      </c>
      <c r="N54" s="10"/>
    </row>
    <row r="55" spans="1:14" ht="15.75" customHeight="1" x14ac:dyDescent="0.25">
      <c r="A55" s="21" t="s">
        <v>73</v>
      </c>
      <c r="B55" s="10"/>
      <c r="C55" s="10"/>
      <c r="D55" s="10"/>
      <c r="E55" s="10"/>
      <c r="F55" s="10"/>
      <c r="H55" s="10"/>
      <c r="I55" s="10"/>
      <c r="J55" s="10"/>
      <c r="K55" s="10"/>
      <c r="L55" s="10"/>
      <c r="M55" s="10">
        <v>227.13</v>
      </c>
      <c r="N55" s="10"/>
    </row>
    <row r="56" spans="1:14" ht="15.75" customHeight="1" x14ac:dyDescent="0.25">
      <c r="A56" s="1" t="s">
        <v>74</v>
      </c>
      <c r="B56" s="26">
        <f>SUM(C56:M56)</f>
        <v>38139.519999999997</v>
      </c>
      <c r="C56" s="10"/>
      <c r="D56" s="10"/>
      <c r="E56" s="10"/>
      <c r="F56" s="10"/>
      <c r="H56" s="9"/>
      <c r="I56" s="9"/>
      <c r="J56" s="9"/>
      <c r="K56" s="9"/>
      <c r="L56" s="9"/>
      <c r="M56" s="26">
        <f>SUM(M47:M55)</f>
        <v>38139.519999999997</v>
      </c>
      <c r="N56" s="9"/>
    </row>
    <row r="57" spans="1:14" ht="15.75" customHeight="1" x14ac:dyDescent="0.25">
      <c r="A57" s="1" t="s">
        <v>57</v>
      </c>
      <c r="B57" s="15">
        <f>B38+B44+B45-B56</f>
        <v>43151.05999999999</v>
      </c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1:14" ht="15.75" customHeight="1" x14ac:dyDescent="0.25">
      <c r="A58" s="1"/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1:14" ht="15.75" customHeight="1" x14ac:dyDescent="0.25">
      <c r="A59" s="2" t="s">
        <v>75</v>
      </c>
      <c r="B59" s="3" t="s">
        <v>2</v>
      </c>
      <c r="C59" s="4" t="s">
        <v>3</v>
      </c>
      <c r="D59" s="4" t="s">
        <v>4</v>
      </c>
      <c r="E59" s="4" t="s">
        <v>5</v>
      </c>
      <c r="F59" s="4" t="s">
        <v>6</v>
      </c>
      <c r="G59" s="4" t="s">
        <v>7</v>
      </c>
      <c r="H59" s="4" t="s">
        <v>7</v>
      </c>
      <c r="I59" s="4" t="s">
        <v>8</v>
      </c>
      <c r="J59" s="4" t="s">
        <v>9</v>
      </c>
      <c r="K59" s="4" t="s">
        <v>9</v>
      </c>
      <c r="L59" s="4" t="s">
        <v>9</v>
      </c>
      <c r="M59" s="4" t="s">
        <v>12</v>
      </c>
      <c r="N59" s="4" t="s">
        <v>13</v>
      </c>
    </row>
    <row r="60" spans="1:14" ht="26.25" x14ac:dyDescent="0.25">
      <c r="A60" s="6" t="s">
        <v>14</v>
      </c>
      <c r="B60" s="6" t="s">
        <v>76</v>
      </c>
      <c r="C60" s="7" t="s">
        <v>16</v>
      </c>
      <c r="D60" s="7" t="s">
        <v>17</v>
      </c>
      <c r="E60" s="7" t="s">
        <v>18</v>
      </c>
      <c r="F60" s="7" t="s">
        <v>19</v>
      </c>
      <c r="G60" s="7" t="s">
        <v>117</v>
      </c>
      <c r="H60" s="7" t="s">
        <v>21</v>
      </c>
      <c r="I60" s="7" t="s">
        <v>22</v>
      </c>
      <c r="J60" s="7" t="s">
        <v>77</v>
      </c>
      <c r="K60" s="7" t="s">
        <v>24</v>
      </c>
      <c r="L60" s="7" t="s">
        <v>25</v>
      </c>
      <c r="M60" s="7" t="s">
        <v>26</v>
      </c>
      <c r="N60" s="7" t="s">
        <v>27</v>
      </c>
    </row>
    <row r="61" spans="1:14" ht="15.75" customHeight="1" x14ac:dyDescent="0.25">
      <c r="A61" s="8" t="s">
        <v>28</v>
      </c>
      <c r="B61" s="9">
        <f t="shared" ref="B61:B62" si="13">SUM(C61:N61)</f>
        <v>43151.05999999999</v>
      </c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>
        <f>B57</f>
        <v>43151.05999999999</v>
      </c>
      <c r="N61" s="10"/>
    </row>
    <row r="62" spans="1:14" ht="15.75" customHeight="1" x14ac:dyDescent="0.25">
      <c r="A62" s="8" t="s">
        <v>78</v>
      </c>
      <c r="B62" s="9">
        <f t="shared" si="13"/>
        <v>2720463.1999999993</v>
      </c>
      <c r="C62" s="12">
        <f t="shared" ref="C62:L62" si="14">C34</f>
        <v>613067.28</v>
      </c>
      <c r="D62" s="12">
        <f t="shared" si="14"/>
        <v>734228.06999999983</v>
      </c>
      <c r="E62" s="12">
        <f t="shared" si="14"/>
        <v>738874.27999999991</v>
      </c>
      <c r="F62" s="12">
        <f t="shared" si="14"/>
        <v>55859.55000000001</v>
      </c>
      <c r="G62" s="10">
        <f t="shared" si="14"/>
        <v>-2277</v>
      </c>
      <c r="H62" s="10">
        <f t="shared" si="14"/>
        <v>0</v>
      </c>
      <c r="I62" s="10">
        <f t="shared" si="14"/>
        <v>108821.39</v>
      </c>
      <c r="J62" s="10">
        <f t="shared" si="14"/>
        <v>251029.09000000003</v>
      </c>
      <c r="K62" s="10">
        <f t="shared" si="14"/>
        <v>54688.81</v>
      </c>
      <c r="L62" s="10">
        <f t="shared" si="14"/>
        <v>146295.96999999997</v>
      </c>
      <c r="M62" s="10"/>
      <c r="N62" s="10">
        <f>N34</f>
        <v>19875.759999999998</v>
      </c>
    </row>
    <row r="63" spans="1:14" ht="15.75" customHeight="1" x14ac:dyDescent="0.25">
      <c r="A63" s="8"/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1:14" ht="15.75" customHeight="1" x14ac:dyDescent="0.25">
      <c r="A64" s="1" t="s">
        <v>32</v>
      </c>
      <c r="B64" s="15">
        <f>SUM(C64:N64)</f>
        <v>2763614.2599999993</v>
      </c>
      <c r="C64" s="15">
        <f t="shared" ref="C64:N64" si="15">SUM(C61:C62)</f>
        <v>613067.28</v>
      </c>
      <c r="D64" s="15">
        <f t="shared" si="15"/>
        <v>734228.06999999983</v>
      </c>
      <c r="E64" s="15">
        <f t="shared" si="15"/>
        <v>738874.27999999991</v>
      </c>
      <c r="F64" s="15">
        <f t="shared" si="15"/>
        <v>55859.55000000001</v>
      </c>
      <c r="G64" s="15">
        <f t="shared" si="15"/>
        <v>-2277</v>
      </c>
      <c r="H64" s="15">
        <f t="shared" si="15"/>
        <v>0</v>
      </c>
      <c r="I64" s="15">
        <f t="shared" si="15"/>
        <v>108821.39</v>
      </c>
      <c r="J64" s="15">
        <f t="shared" si="15"/>
        <v>251029.09000000003</v>
      </c>
      <c r="K64" s="15">
        <f t="shared" si="15"/>
        <v>54688.81</v>
      </c>
      <c r="L64" s="15">
        <f t="shared" si="15"/>
        <v>146295.96999999997</v>
      </c>
      <c r="M64" s="15">
        <f t="shared" si="15"/>
        <v>43151.05999999999</v>
      </c>
      <c r="N64" s="15">
        <f t="shared" si="15"/>
        <v>19875.759999999998</v>
      </c>
    </row>
    <row r="65" spans="1:19" ht="15.75" customHeight="1" x14ac:dyDescent="0.25">
      <c r="A65" s="21"/>
      <c r="B65" s="21"/>
      <c r="C65" s="10"/>
      <c r="D65" s="10"/>
      <c r="E65" s="10"/>
      <c r="F65" s="10"/>
    </row>
    <row r="66" spans="1:19" ht="15.75" customHeight="1" x14ac:dyDescent="0.25">
      <c r="A66" s="21" t="str">
        <f>A1</f>
        <v xml:space="preserve">Month: April 2025                                                                                                                                </v>
      </c>
      <c r="B66" s="21"/>
      <c r="D66" s="10"/>
      <c r="E66" s="10"/>
      <c r="G66" s="10"/>
      <c r="H66" s="10"/>
      <c r="I66" s="10"/>
    </row>
    <row r="67" spans="1:19" ht="15.75" customHeight="1" x14ac:dyDescent="0.25">
      <c r="A67" s="10"/>
      <c r="B67" s="27" t="s">
        <v>79</v>
      </c>
      <c r="C67" s="27" t="s">
        <v>80</v>
      </c>
      <c r="D67" s="27" t="s">
        <v>81</v>
      </c>
      <c r="E67" s="27" t="s">
        <v>82</v>
      </c>
      <c r="F67" s="11" t="s">
        <v>83</v>
      </c>
      <c r="G67" s="10"/>
      <c r="H67" s="10"/>
      <c r="I67" s="10"/>
    </row>
    <row r="68" spans="1:19" ht="15.75" customHeight="1" x14ac:dyDescent="0.25">
      <c r="A68" s="30" t="s">
        <v>84</v>
      </c>
      <c r="B68" s="10"/>
      <c r="C68" s="10">
        <v>325280.27</v>
      </c>
      <c r="D68" s="10">
        <f>C103</f>
        <v>24189.590000000004</v>
      </c>
      <c r="E68" s="10">
        <f>D89</f>
        <v>0</v>
      </c>
      <c r="F68" s="10">
        <f t="shared" ref="F68:F69" si="16">(C68-D68+E68)-B68</f>
        <v>301090.68</v>
      </c>
      <c r="G68" s="10"/>
      <c r="H68" s="10"/>
      <c r="I68" s="10">
        <f>C68-D68</f>
        <v>301090.68</v>
      </c>
      <c r="O68" s="14"/>
    </row>
    <row r="69" spans="1:19" ht="15.75" customHeight="1" x14ac:dyDescent="0.25">
      <c r="A69" s="30" t="s">
        <v>85</v>
      </c>
      <c r="B69" s="10">
        <f>B35-M35</f>
        <v>2715714.71</v>
      </c>
      <c r="C69" s="10">
        <f>2241586.95+159447.28</f>
        <v>2401034.23</v>
      </c>
      <c r="D69" s="10">
        <f>D85</f>
        <v>0</v>
      </c>
      <c r="E69" s="10">
        <f>E81</f>
        <v>0</v>
      </c>
      <c r="F69" s="10">
        <f t="shared" si="16"/>
        <v>-314680.48</v>
      </c>
      <c r="H69" s="10"/>
      <c r="I69" s="10">
        <f>C69+E69</f>
        <v>2401034.23</v>
      </c>
    </row>
    <row r="70" spans="1:19" ht="15.75" customHeight="1" x14ac:dyDescent="0.25">
      <c r="A70" s="30"/>
      <c r="B70" s="10"/>
      <c r="C70" s="10"/>
      <c r="D70" s="10"/>
      <c r="F70" s="31">
        <f>F68+F69</f>
        <v>-13589.799999999988</v>
      </c>
      <c r="G70" s="10"/>
      <c r="H70" s="10"/>
      <c r="I70" s="10">
        <f>I68+I69</f>
        <v>2702124.91</v>
      </c>
      <c r="O70" s="14"/>
    </row>
    <row r="71" spans="1:19" ht="15.75" customHeight="1" x14ac:dyDescent="0.25">
      <c r="A71" s="30" t="s">
        <v>28</v>
      </c>
      <c r="B71" s="10">
        <f>B57</f>
        <v>43151.05999999999</v>
      </c>
      <c r="C71" s="10">
        <v>45289.93</v>
      </c>
      <c r="D71" s="10">
        <f>J86</f>
        <v>1641.22</v>
      </c>
      <c r="E71" s="10">
        <f>J92</f>
        <v>0</v>
      </c>
      <c r="F71" s="10">
        <f>(C71-D71+E71)-B71</f>
        <v>497.65000000000873</v>
      </c>
      <c r="G71" s="10"/>
      <c r="H71" s="10"/>
      <c r="I71" s="10"/>
    </row>
    <row r="72" spans="1:19" ht="15.75" customHeight="1" x14ac:dyDescent="0.25">
      <c r="A72" s="8"/>
      <c r="B72" s="10"/>
      <c r="C72" s="10" t="s">
        <v>86</v>
      </c>
      <c r="D72" s="10"/>
      <c r="E72" s="10" t="s">
        <v>87</v>
      </c>
      <c r="F72" s="31">
        <f>F70+F71</f>
        <v>-13092.14999999998</v>
      </c>
      <c r="G72" s="10"/>
      <c r="H72" s="10"/>
      <c r="I72" s="10"/>
      <c r="J72" s="32"/>
      <c r="K72" s="32"/>
      <c r="L72" s="32"/>
      <c r="M72" s="32"/>
      <c r="N72" s="32"/>
    </row>
    <row r="73" spans="1:19" ht="15.75" customHeight="1" x14ac:dyDescent="0.25">
      <c r="A73" s="8"/>
      <c r="B73" s="10"/>
      <c r="C73" s="10"/>
      <c r="D73" s="10"/>
      <c r="E73" s="10"/>
      <c r="F73" s="10"/>
      <c r="G73" s="10"/>
      <c r="H73" s="10"/>
      <c r="I73" s="10"/>
      <c r="J73" s="32"/>
      <c r="K73" s="32"/>
      <c r="L73" s="32"/>
      <c r="M73" s="32"/>
      <c r="N73" s="32"/>
    </row>
    <row r="74" spans="1:19" ht="15.75" customHeight="1" x14ac:dyDescent="0.25">
      <c r="A74" s="27"/>
      <c r="B74" s="69" t="s">
        <v>88</v>
      </c>
      <c r="C74" s="70"/>
      <c r="D74" s="71" t="s">
        <v>89</v>
      </c>
      <c r="E74" s="72"/>
      <c r="F74" s="23" t="s">
        <v>90</v>
      </c>
      <c r="J74" s="33" t="s">
        <v>91</v>
      </c>
      <c r="K74" s="34"/>
      <c r="L74" s="34"/>
      <c r="M74" s="32"/>
      <c r="N74" s="32"/>
      <c r="O74" s="32"/>
      <c r="P74" s="32"/>
      <c r="Q74" s="32"/>
    </row>
    <row r="75" spans="1:19" ht="15.75" customHeight="1" x14ac:dyDescent="0.25">
      <c r="A75" s="52">
        <v>45575</v>
      </c>
      <c r="B75" s="54">
        <v>18568</v>
      </c>
      <c r="C75" s="53">
        <v>86</v>
      </c>
      <c r="D75" s="36" t="s">
        <v>92</v>
      </c>
      <c r="E75" s="37">
        <v>0</v>
      </c>
      <c r="H75" s="52">
        <v>45741</v>
      </c>
      <c r="I75" s="54">
        <v>8333</v>
      </c>
      <c r="J75" s="53">
        <v>238.72</v>
      </c>
      <c r="L75" s="8"/>
      <c r="S75" s="14"/>
    </row>
    <row r="76" spans="1:19" ht="15.75" customHeight="1" x14ac:dyDescent="0.25">
      <c r="A76" s="52">
        <v>45575</v>
      </c>
      <c r="B76" s="54">
        <v>18573</v>
      </c>
      <c r="C76" s="53">
        <v>143.28</v>
      </c>
      <c r="D76" s="38" t="s">
        <v>93</v>
      </c>
      <c r="E76" s="39">
        <v>0</v>
      </c>
      <c r="F76" s="22"/>
      <c r="H76" s="52">
        <v>45776</v>
      </c>
      <c r="I76" s="54">
        <v>8378</v>
      </c>
      <c r="J76" s="53">
        <v>227.13</v>
      </c>
      <c r="L76" s="8"/>
      <c r="S76" s="14"/>
    </row>
    <row r="77" spans="1:19" ht="15.75" customHeight="1" x14ac:dyDescent="0.25">
      <c r="A77" s="52">
        <v>45672</v>
      </c>
      <c r="B77" s="54">
        <v>18735</v>
      </c>
      <c r="C77" s="53">
        <v>43</v>
      </c>
      <c r="D77" s="38" t="s">
        <v>94</v>
      </c>
      <c r="E77" s="39">
        <v>0</v>
      </c>
      <c r="F77" s="22"/>
      <c r="H77" s="52">
        <v>45776</v>
      </c>
      <c r="I77" s="54">
        <v>8379</v>
      </c>
      <c r="J77" s="53">
        <v>248</v>
      </c>
      <c r="K77" s="8"/>
      <c r="L77" s="8"/>
      <c r="S77" s="14"/>
    </row>
    <row r="78" spans="1:19" ht="15.75" customHeight="1" x14ac:dyDescent="0.25">
      <c r="A78" s="52">
        <v>45672</v>
      </c>
      <c r="B78" s="54">
        <v>18767</v>
      </c>
      <c r="C78" s="53">
        <v>6170</v>
      </c>
      <c r="D78" s="38" t="s">
        <v>95</v>
      </c>
      <c r="E78" s="39">
        <v>0</v>
      </c>
      <c r="F78" s="22"/>
      <c r="H78" s="52">
        <v>45777</v>
      </c>
      <c r="I78" s="54" t="s">
        <v>71</v>
      </c>
      <c r="J78" s="53">
        <v>927.37</v>
      </c>
      <c r="K78" s="8"/>
      <c r="L78" s="8"/>
      <c r="S78" s="14"/>
    </row>
    <row r="79" spans="1:19" ht="15.75" customHeight="1" x14ac:dyDescent="0.25">
      <c r="A79" s="52">
        <v>45700</v>
      </c>
      <c r="B79" s="54">
        <v>18797</v>
      </c>
      <c r="C79" s="53">
        <v>3033.23</v>
      </c>
      <c r="D79" s="38" t="s">
        <v>96</v>
      </c>
      <c r="E79" s="39">
        <v>0</v>
      </c>
      <c r="H79" s="52"/>
      <c r="J79" s="53"/>
      <c r="K79" s="8"/>
      <c r="L79" s="8"/>
      <c r="S79" s="14"/>
    </row>
    <row r="80" spans="1:19" ht="15.75" customHeight="1" x14ac:dyDescent="0.25">
      <c r="A80" s="52">
        <v>45700</v>
      </c>
      <c r="B80" s="54">
        <v>18812</v>
      </c>
      <c r="C80" s="53">
        <v>220</v>
      </c>
      <c r="D80" s="38" t="s">
        <v>97</v>
      </c>
      <c r="E80" s="39">
        <v>0</v>
      </c>
      <c r="F80" s="73" t="s">
        <v>98</v>
      </c>
      <c r="G80" s="72"/>
      <c r="H80" s="35"/>
      <c r="J80" s="53"/>
      <c r="K80" s="8"/>
      <c r="L80" s="8"/>
      <c r="S80" s="14"/>
    </row>
    <row r="81" spans="1:19" ht="15.75" customHeight="1" x14ac:dyDescent="0.25">
      <c r="A81" s="52">
        <v>45728</v>
      </c>
      <c r="B81" s="54">
        <v>18859</v>
      </c>
      <c r="C81" s="53">
        <v>61.04</v>
      </c>
      <c r="D81" s="40"/>
      <c r="E81" s="41">
        <f>E75+E76+E77+E78+E79+E80</f>
        <v>0</v>
      </c>
      <c r="F81" s="42"/>
      <c r="G81" s="43"/>
      <c r="H81" s="35"/>
      <c r="J81" s="53"/>
      <c r="K81" s="8"/>
      <c r="L81" s="8"/>
      <c r="S81" s="14"/>
    </row>
    <row r="82" spans="1:19" ht="15.75" customHeight="1" x14ac:dyDescent="0.25">
      <c r="A82" s="52">
        <v>45728</v>
      </c>
      <c r="B82" s="54">
        <v>18866</v>
      </c>
      <c r="C82" s="53">
        <v>2500</v>
      </c>
      <c r="D82" s="44" t="s">
        <v>99</v>
      </c>
      <c r="F82" s="23" t="s">
        <v>100</v>
      </c>
      <c r="G82" s="27"/>
      <c r="H82" s="35"/>
      <c r="J82" s="53"/>
      <c r="K82" s="8"/>
      <c r="L82" s="8"/>
      <c r="S82" s="14"/>
    </row>
    <row r="83" spans="1:19" ht="15.75" customHeight="1" x14ac:dyDescent="0.25">
      <c r="A83" s="52">
        <v>45757</v>
      </c>
      <c r="B83" s="54">
        <v>18886</v>
      </c>
      <c r="C83" s="53">
        <v>96.2</v>
      </c>
      <c r="D83" s="45"/>
      <c r="F83" s="23" t="s">
        <v>101</v>
      </c>
      <c r="G83" s="27"/>
      <c r="H83" s="27"/>
      <c r="I83" s="27"/>
      <c r="J83" s="10"/>
      <c r="K83" s="8"/>
      <c r="L83" s="8"/>
      <c r="S83" s="14"/>
    </row>
    <row r="84" spans="1:19" ht="15.75" customHeight="1" x14ac:dyDescent="0.25">
      <c r="A84" s="52">
        <v>45776</v>
      </c>
      <c r="B84" s="54">
        <v>18916</v>
      </c>
      <c r="C84" s="53">
        <v>1047.6300000000001</v>
      </c>
      <c r="D84" s="14"/>
      <c r="F84" s="23" t="s">
        <v>102</v>
      </c>
      <c r="G84" s="27"/>
      <c r="H84" s="27"/>
      <c r="I84" s="27"/>
      <c r="J84" s="10"/>
      <c r="K84" s="8"/>
      <c r="L84" s="8"/>
      <c r="S84" s="14"/>
    </row>
    <row r="85" spans="1:19" ht="15.75" customHeight="1" x14ac:dyDescent="0.25">
      <c r="A85" s="52">
        <v>45776</v>
      </c>
      <c r="B85" s="54">
        <v>18917</v>
      </c>
      <c r="C85" s="53">
        <v>10047.290000000001</v>
      </c>
      <c r="D85" s="46">
        <f>SUM(D83:D84)</f>
        <v>0</v>
      </c>
      <c r="F85" s="23" t="s">
        <v>103</v>
      </c>
      <c r="G85" s="27"/>
      <c r="H85" s="27"/>
      <c r="I85" s="27"/>
      <c r="J85" s="10"/>
      <c r="K85" s="8"/>
      <c r="L85" s="8"/>
      <c r="S85" s="14"/>
    </row>
    <row r="86" spans="1:19" ht="15.75" customHeight="1" x14ac:dyDescent="0.25">
      <c r="A86" s="52">
        <v>45776</v>
      </c>
      <c r="B86" s="54">
        <v>18918</v>
      </c>
      <c r="C86" s="53">
        <v>29.95</v>
      </c>
      <c r="F86" s="23" t="s">
        <v>104</v>
      </c>
      <c r="G86" s="27"/>
      <c r="H86" s="27"/>
      <c r="I86" s="27"/>
      <c r="J86" s="47">
        <f>SUM(J75:J85)</f>
        <v>1641.22</v>
      </c>
      <c r="K86" s="8"/>
      <c r="L86" s="8"/>
      <c r="S86" s="14"/>
    </row>
    <row r="87" spans="1:19" ht="15.75" customHeight="1" x14ac:dyDescent="0.25">
      <c r="A87" s="52">
        <v>45776</v>
      </c>
      <c r="B87" s="54">
        <v>18919</v>
      </c>
      <c r="C87" s="53">
        <v>711.97</v>
      </c>
      <c r="F87" s="23" t="s">
        <v>105</v>
      </c>
      <c r="G87" s="27"/>
      <c r="H87" s="27"/>
      <c r="I87" s="27"/>
      <c r="J87" s="14"/>
      <c r="K87" s="8"/>
      <c r="L87" s="8"/>
      <c r="S87" s="14"/>
    </row>
    <row r="88" spans="1:19" ht="15.75" customHeight="1" x14ac:dyDescent="0.25">
      <c r="A88" s="52"/>
      <c r="B88" s="54"/>
      <c r="C88" s="53"/>
      <c r="D88" s="33" t="s">
        <v>106</v>
      </c>
      <c r="E88" s="32"/>
      <c r="F88" s="23" t="s">
        <v>107</v>
      </c>
      <c r="G88" s="27"/>
      <c r="H88" s="27"/>
      <c r="I88" s="27"/>
      <c r="J88" s="33" t="s">
        <v>108</v>
      </c>
      <c r="K88" s="8"/>
      <c r="L88" s="8"/>
      <c r="S88" s="14"/>
    </row>
    <row r="89" spans="1:19" ht="15.75" customHeight="1" x14ac:dyDescent="0.25">
      <c r="A89" s="35"/>
      <c r="C89" s="14"/>
      <c r="D89" s="45"/>
      <c r="E89" s="32"/>
      <c r="F89" s="14"/>
      <c r="J89" s="48"/>
      <c r="K89" s="8"/>
      <c r="L89" s="8"/>
      <c r="S89" s="14"/>
    </row>
    <row r="90" spans="1:19" ht="15" customHeight="1" x14ac:dyDescent="0.25">
      <c r="A90" s="35"/>
      <c r="B90" s="23"/>
      <c r="C90" s="14"/>
      <c r="D90" s="14"/>
      <c r="E90" s="32"/>
      <c r="F90" s="14"/>
      <c r="G90" s="14"/>
      <c r="H90" s="14"/>
      <c r="I90" s="14"/>
      <c r="J90" s="48"/>
      <c r="K90" s="8"/>
      <c r="L90" s="8"/>
      <c r="S90" s="14"/>
    </row>
    <row r="91" spans="1:19" ht="15" customHeight="1" x14ac:dyDescent="0.25">
      <c r="A91" s="35"/>
      <c r="C91" s="14"/>
      <c r="D91" s="14"/>
      <c r="E91" s="32"/>
      <c r="F91" s="14"/>
      <c r="G91" s="14"/>
      <c r="H91" s="14"/>
      <c r="I91" s="14"/>
      <c r="J91" s="48"/>
      <c r="K91" s="8"/>
      <c r="L91" s="8"/>
      <c r="S91" s="14"/>
    </row>
    <row r="92" spans="1:19" ht="15" customHeight="1" x14ac:dyDescent="0.25">
      <c r="A92" s="35"/>
      <c r="B92" s="23"/>
      <c r="C92" s="14"/>
      <c r="D92" s="14"/>
      <c r="E92" s="32"/>
      <c r="F92" s="14"/>
      <c r="G92" s="14"/>
      <c r="H92" s="49"/>
      <c r="I92" s="8"/>
      <c r="J92" s="50">
        <f>SUM(J89:J91)</f>
        <v>0</v>
      </c>
      <c r="Q92" s="14"/>
    </row>
    <row r="93" spans="1:19" ht="15" customHeight="1" x14ac:dyDescent="0.25">
      <c r="A93" s="35"/>
      <c r="C93" s="14"/>
      <c r="D93" s="14"/>
      <c r="E93" s="32"/>
      <c r="F93" s="14"/>
      <c r="G93" s="14"/>
      <c r="H93" s="49"/>
      <c r="I93" s="8"/>
      <c r="J93" s="8"/>
      <c r="Q93" s="14"/>
    </row>
    <row r="94" spans="1:19" ht="15" customHeight="1" x14ac:dyDescent="0.25">
      <c r="A94" s="35"/>
      <c r="B94" s="23"/>
      <c r="C94" s="14"/>
      <c r="D94" s="14"/>
      <c r="E94" s="32"/>
      <c r="F94" s="14"/>
      <c r="G94" s="14"/>
      <c r="H94" s="49"/>
      <c r="I94" s="8"/>
      <c r="J94" s="8"/>
      <c r="Q94" s="14"/>
    </row>
    <row r="95" spans="1:19" ht="15" customHeight="1" x14ac:dyDescent="0.25">
      <c r="A95" s="35"/>
      <c r="B95" s="23"/>
      <c r="C95" s="14"/>
      <c r="D95" s="14"/>
      <c r="E95" s="32"/>
      <c r="F95" s="14"/>
      <c r="G95" s="14"/>
      <c r="H95" s="49"/>
      <c r="I95" s="8"/>
      <c r="J95" s="8"/>
      <c r="Q95" s="14"/>
    </row>
    <row r="96" spans="1:19" ht="15" customHeight="1" x14ac:dyDescent="0.25">
      <c r="A96" s="35"/>
      <c r="B96" s="23"/>
      <c r="C96" s="14"/>
      <c r="D96" s="14"/>
      <c r="E96" s="32"/>
      <c r="F96" s="14"/>
      <c r="G96" s="14"/>
      <c r="H96" s="49"/>
      <c r="I96" s="8"/>
      <c r="J96" s="8"/>
      <c r="Q96" s="14"/>
    </row>
    <row r="97" spans="1:17" ht="15" customHeight="1" x14ac:dyDescent="0.25">
      <c r="A97" s="35"/>
      <c r="B97" s="23"/>
      <c r="C97" s="14"/>
      <c r="D97" s="14"/>
      <c r="E97" s="32"/>
      <c r="F97" s="14"/>
      <c r="G97" s="14"/>
      <c r="H97" s="49"/>
      <c r="I97" s="8"/>
      <c r="J97" s="8"/>
      <c r="Q97" s="14"/>
    </row>
    <row r="98" spans="1:17" ht="15" customHeight="1" x14ac:dyDescent="0.25">
      <c r="A98" s="35"/>
      <c r="B98" s="23"/>
      <c r="C98" s="14"/>
      <c r="D98" s="14"/>
      <c r="E98" s="32"/>
      <c r="F98" s="14"/>
      <c r="G98" s="14"/>
      <c r="H98" s="49"/>
      <c r="I98" s="8"/>
      <c r="J98" s="8"/>
      <c r="Q98" s="14"/>
    </row>
    <row r="99" spans="1:17" ht="15" customHeight="1" x14ac:dyDescent="0.25">
      <c r="A99" s="35"/>
      <c r="B99" s="23"/>
      <c r="C99" s="14"/>
      <c r="D99" s="14"/>
      <c r="E99" s="32"/>
      <c r="F99" s="14"/>
      <c r="G99" s="14"/>
      <c r="H99" s="49"/>
      <c r="I99" s="8"/>
      <c r="J99" s="8"/>
      <c r="Q99" s="14"/>
    </row>
    <row r="100" spans="1:17" ht="15" customHeight="1" x14ac:dyDescent="0.25">
      <c r="A100" s="35"/>
      <c r="B100" s="23"/>
      <c r="C100" s="14"/>
      <c r="D100" s="14"/>
      <c r="E100" s="32"/>
      <c r="F100" s="14"/>
      <c r="G100" s="14"/>
      <c r="H100" s="49"/>
      <c r="I100" s="8"/>
      <c r="J100" s="8"/>
      <c r="Q100" s="14"/>
    </row>
    <row r="101" spans="1:17" ht="15" customHeight="1" x14ac:dyDescent="0.25">
      <c r="A101" s="35"/>
      <c r="B101" s="23"/>
      <c r="C101" s="14"/>
      <c r="D101" s="14"/>
      <c r="E101" s="32"/>
      <c r="F101" s="14"/>
      <c r="G101" s="14"/>
      <c r="H101" s="49"/>
      <c r="I101" s="8"/>
      <c r="J101" s="8"/>
      <c r="Q101" s="14"/>
    </row>
    <row r="102" spans="1:17" ht="15" customHeight="1" x14ac:dyDescent="0.25">
      <c r="A102" s="35"/>
      <c r="B102" s="23"/>
      <c r="C102" s="14"/>
      <c r="D102" s="14"/>
      <c r="E102" s="32"/>
      <c r="F102" s="14"/>
      <c r="G102" s="14"/>
      <c r="H102" s="49"/>
      <c r="I102" s="8"/>
      <c r="J102" s="8"/>
      <c r="Q102" s="14"/>
    </row>
    <row r="103" spans="1:17" ht="15.75" customHeight="1" x14ac:dyDescent="0.25">
      <c r="C103" s="46">
        <f>SUM(C75:C102)</f>
        <v>24189.590000000004</v>
      </c>
      <c r="D103" s="14"/>
      <c r="E103" s="32"/>
      <c r="F103" s="14"/>
      <c r="G103" s="14"/>
      <c r="H103" s="49"/>
      <c r="I103" s="8"/>
      <c r="J103" s="8"/>
      <c r="Q103" s="14"/>
    </row>
    <row r="104" spans="1:17" ht="15.75" customHeight="1" x14ac:dyDescent="0.25">
      <c r="C104" s="14"/>
      <c r="D104" s="32"/>
      <c r="E104" s="14"/>
      <c r="F104" s="14"/>
      <c r="G104" s="49"/>
      <c r="H104" s="8"/>
      <c r="I104" s="8"/>
      <c r="P104" s="14"/>
    </row>
    <row r="105" spans="1:17" ht="15.75" customHeight="1" x14ac:dyDescent="0.25">
      <c r="C105" s="14"/>
      <c r="D105" s="32"/>
      <c r="E105" s="14"/>
      <c r="F105" s="14"/>
      <c r="G105" s="49"/>
      <c r="H105" s="8"/>
      <c r="I105" s="8"/>
      <c r="P105" s="14"/>
    </row>
    <row r="106" spans="1:17" ht="15.75" customHeight="1" x14ac:dyDescent="0.25">
      <c r="C106" s="14"/>
      <c r="D106" s="32"/>
      <c r="E106" s="14"/>
      <c r="F106" s="14"/>
      <c r="G106" s="49"/>
      <c r="H106" s="8"/>
      <c r="I106" s="8"/>
      <c r="P106" s="14"/>
    </row>
    <row r="107" spans="1:17" ht="15.75" customHeight="1" x14ac:dyDescent="0.25">
      <c r="C107" s="14"/>
      <c r="D107" s="32"/>
      <c r="E107" s="14"/>
      <c r="F107" s="14"/>
      <c r="G107" s="49"/>
      <c r="H107" s="8"/>
      <c r="I107" s="8"/>
      <c r="P107" s="14"/>
    </row>
    <row r="108" spans="1:17" ht="15.75" customHeight="1" x14ac:dyDescent="0.25">
      <c r="C108" s="14"/>
      <c r="D108" s="32"/>
      <c r="E108" s="14"/>
      <c r="F108" s="14"/>
      <c r="G108" s="49"/>
      <c r="H108" s="8"/>
      <c r="I108" s="8"/>
      <c r="P108" s="14"/>
    </row>
    <row r="109" spans="1:17" ht="15.75" customHeight="1" x14ac:dyDescent="0.25">
      <c r="C109" s="14"/>
      <c r="D109" s="32"/>
      <c r="E109" s="14"/>
      <c r="F109" s="14"/>
      <c r="G109" s="49"/>
      <c r="H109" s="8"/>
      <c r="I109" s="8"/>
      <c r="P109" s="14"/>
    </row>
    <row r="110" spans="1:17" ht="15.75" customHeight="1" x14ac:dyDescent="0.25">
      <c r="C110" s="14"/>
      <c r="D110" s="32"/>
      <c r="E110" s="14"/>
      <c r="F110" s="14"/>
      <c r="G110" s="49"/>
      <c r="H110" s="8"/>
      <c r="I110" s="8"/>
      <c r="P110" s="14"/>
    </row>
    <row r="111" spans="1:17" ht="15.75" customHeight="1" x14ac:dyDescent="0.25">
      <c r="C111" s="14"/>
      <c r="D111" s="32"/>
      <c r="E111" s="14"/>
      <c r="F111" s="14"/>
      <c r="G111" s="49"/>
      <c r="H111" s="8"/>
      <c r="I111" s="8"/>
      <c r="P111" s="14"/>
    </row>
    <row r="112" spans="1:17" ht="15.75" customHeight="1" x14ac:dyDescent="0.25">
      <c r="B112" s="22"/>
      <c r="C112" s="14"/>
      <c r="D112" s="32"/>
      <c r="E112" s="14"/>
      <c r="F112" s="14"/>
      <c r="G112" s="49"/>
      <c r="H112" s="8"/>
      <c r="I112" s="8"/>
      <c r="P112" s="14"/>
    </row>
    <row r="113" spans="2:16" ht="15.75" customHeight="1" x14ac:dyDescent="0.25">
      <c r="C113" s="14"/>
      <c r="D113" s="32"/>
      <c r="E113" s="14"/>
      <c r="F113" s="14"/>
      <c r="G113" s="49"/>
      <c r="H113" s="8"/>
      <c r="I113" s="8"/>
      <c r="P113" s="14"/>
    </row>
    <row r="114" spans="2:16" ht="15.75" customHeight="1" x14ac:dyDescent="0.25">
      <c r="C114" s="14"/>
      <c r="D114" s="32"/>
      <c r="E114" s="14"/>
      <c r="F114" s="14"/>
      <c r="G114" s="49"/>
      <c r="H114" s="8"/>
      <c r="I114" s="8"/>
      <c r="P114" s="14"/>
    </row>
    <row r="115" spans="2:16" ht="15.75" customHeight="1" x14ac:dyDescent="0.25">
      <c r="C115" s="14"/>
      <c r="D115" s="32"/>
      <c r="E115" s="14"/>
      <c r="F115" s="14"/>
      <c r="G115" s="49"/>
      <c r="H115" s="8"/>
      <c r="I115" s="8"/>
      <c r="P115" s="14"/>
    </row>
    <row r="116" spans="2:16" ht="15.75" customHeight="1" x14ac:dyDescent="0.25">
      <c r="B116" s="14"/>
      <c r="C116" s="14"/>
      <c r="D116" s="32"/>
      <c r="E116" s="14"/>
      <c r="F116" s="14"/>
      <c r="G116" s="49"/>
      <c r="H116" s="8"/>
      <c r="I116" s="8"/>
      <c r="P116" s="14"/>
    </row>
    <row r="117" spans="2:16" ht="15.75" customHeight="1" x14ac:dyDescent="0.25">
      <c r="B117" s="14"/>
      <c r="C117" s="14"/>
      <c r="D117" s="32"/>
      <c r="E117" s="14"/>
      <c r="F117" s="14"/>
      <c r="G117" s="49"/>
      <c r="H117" s="8"/>
      <c r="I117" s="8"/>
      <c r="P117" s="14"/>
    </row>
    <row r="118" spans="2:16" ht="15.75" customHeight="1" x14ac:dyDescent="0.25">
      <c r="B118" s="14"/>
      <c r="C118" s="14"/>
      <c r="D118" s="32"/>
      <c r="E118" s="14"/>
      <c r="F118" s="14"/>
      <c r="G118" s="49"/>
      <c r="H118" s="8"/>
      <c r="I118" s="8"/>
      <c r="P118" s="14"/>
    </row>
    <row r="119" spans="2:16" ht="15.75" customHeight="1" x14ac:dyDescent="0.25">
      <c r="B119" s="14"/>
      <c r="C119" s="22"/>
      <c r="H119" s="8"/>
      <c r="I119" s="8"/>
    </row>
    <row r="120" spans="2:16" ht="15.75" customHeight="1" x14ac:dyDescent="0.25">
      <c r="B120" s="14"/>
      <c r="E120" s="14"/>
    </row>
    <row r="121" spans="2:16" ht="15.75" customHeight="1" x14ac:dyDescent="0.25">
      <c r="B121" s="14"/>
    </row>
    <row r="122" spans="2:16" ht="15.75" customHeight="1" x14ac:dyDescent="0.25">
      <c r="B122" s="14"/>
      <c r="E122" s="14"/>
    </row>
    <row r="123" spans="2:16" ht="15.75" customHeight="1" x14ac:dyDescent="0.25">
      <c r="B123" s="14"/>
    </row>
    <row r="124" spans="2:16" ht="15.75" customHeight="1" x14ac:dyDescent="0.25">
      <c r="B124" s="14"/>
    </row>
    <row r="125" spans="2:16" ht="15.75" customHeight="1" x14ac:dyDescent="0.25">
      <c r="B125" s="14"/>
      <c r="C125" s="22"/>
    </row>
    <row r="126" spans="2:16" ht="15.75" customHeight="1" x14ac:dyDescent="0.25">
      <c r="B126" s="14"/>
    </row>
    <row r="127" spans="2:16" ht="15.75" customHeight="1" x14ac:dyDescent="0.25">
      <c r="B127" s="14"/>
    </row>
    <row r="128" spans="2:16" ht="15.75" customHeight="1" x14ac:dyDescent="0.25">
      <c r="B128" s="14"/>
    </row>
    <row r="129" spans="1:2" ht="15.75" customHeight="1" x14ac:dyDescent="0.25">
      <c r="B129" s="14"/>
    </row>
    <row r="130" spans="1:2" ht="15.75" customHeight="1" x14ac:dyDescent="0.25">
      <c r="A130" s="22"/>
      <c r="B130" s="14"/>
    </row>
    <row r="131" spans="1:2" ht="15.75" customHeight="1" x14ac:dyDescent="0.25">
      <c r="A131" s="22"/>
      <c r="B131" s="14"/>
    </row>
    <row r="132" spans="1:2" ht="15.75" customHeight="1" x14ac:dyDescent="0.25">
      <c r="A132" s="51"/>
      <c r="B132" s="14"/>
    </row>
    <row r="133" spans="1:2" ht="15.75" customHeight="1" x14ac:dyDescent="0.25">
      <c r="A133" s="51"/>
      <c r="B133" s="14"/>
    </row>
    <row r="134" spans="1:2" ht="15.75" customHeight="1" x14ac:dyDescent="0.25">
      <c r="A134" s="51"/>
      <c r="B134" s="14"/>
    </row>
    <row r="135" spans="1:2" ht="15.75" customHeight="1" x14ac:dyDescent="0.25">
      <c r="A135" s="51"/>
      <c r="B135" s="14"/>
    </row>
    <row r="136" spans="1:2" ht="15.75" customHeight="1" x14ac:dyDescent="0.25">
      <c r="A136" s="51"/>
      <c r="B136" s="14"/>
    </row>
    <row r="137" spans="1:2" ht="15.75" customHeight="1" x14ac:dyDescent="0.25">
      <c r="A137" s="51"/>
      <c r="B137" s="14"/>
    </row>
    <row r="138" spans="1:2" ht="15.75" customHeight="1" x14ac:dyDescent="0.25">
      <c r="A138" s="51"/>
      <c r="B138" s="14"/>
    </row>
    <row r="139" spans="1:2" ht="15.75" customHeight="1" x14ac:dyDescent="0.25">
      <c r="A139" s="51"/>
      <c r="B139" s="14"/>
    </row>
    <row r="140" spans="1:2" ht="15.75" customHeight="1" x14ac:dyDescent="0.25">
      <c r="A140" s="51"/>
      <c r="B140" s="14"/>
    </row>
    <row r="141" spans="1:2" ht="15.75" customHeight="1" x14ac:dyDescent="0.25">
      <c r="A141" s="51"/>
      <c r="B141" s="14"/>
    </row>
    <row r="142" spans="1:2" ht="15.75" customHeight="1" x14ac:dyDescent="0.25">
      <c r="A142" s="51"/>
      <c r="B142" s="14"/>
    </row>
    <row r="143" spans="1:2" ht="15.75" customHeight="1" x14ac:dyDescent="0.25">
      <c r="A143" s="51"/>
      <c r="B143" s="14"/>
    </row>
    <row r="144" spans="1:2" ht="15.75" customHeight="1" x14ac:dyDescent="0.25">
      <c r="A144" s="51"/>
    </row>
    <row r="145" spans="1:2" ht="15.75" customHeight="1" x14ac:dyDescent="0.25">
      <c r="A145" s="51"/>
      <c r="B145" s="14"/>
    </row>
    <row r="146" spans="1:2" ht="15.75" customHeight="1" x14ac:dyDescent="0.25">
      <c r="A146" s="51"/>
    </row>
    <row r="147" spans="1:2" ht="15.75" customHeight="1" x14ac:dyDescent="0.25">
      <c r="A147" s="51"/>
    </row>
    <row r="148" spans="1:2" ht="15.75" customHeight="1" x14ac:dyDescent="0.25"/>
    <row r="149" spans="1:2" ht="15.75" customHeight="1" x14ac:dyDescent="0.25"/>
    <row r="150" spans="1:2" ht="15.75" customHeight="1" x14ac:dyDescent="0.25"/>
    <row r="151" spans="1:2" ht="15.75" customHeight="1" x14ac:dyDescent="0.25"/>
    <row r="152" spans="1:2" ht="15.75" customHeight="1" x14ac:dyDescent="0.25"/>
    <row r="153" spans="1:2" ht="15.75" customHeight="1" x14ac:dyDescent="0.25"/>
    <row r="154" spans="1:2" ht="15.75" customHeight="1" x14ac:dyDescent="0.25"/>
    <row r="155" spans="1:2" ht="15.75" customHeight="1" x14ac:dyDescent="0.25"/>
    <row r="156" spans="1:2" ht="15.75" customHeight="1" x14ac:dyDescent="0.25"/>
    <row r="157" spans="1:2" ht="15.75" customHeight="1" x14ac:dyDescent="0.25"/>
    <row r="158" spans="1:2" ht="15.75" customHeight="1" x14ac:dyDescent="0.25"/>
    <row r="159" spans="1:2" ht="15.75" customHeight="1" x14ac:dyDescent="0.25"/>
    <row r="160" spans="1:2" ht="15.75" customHeight="1" x14ac:dyDescent="0.25"/>
    <row r="161" spans="1:1" ht="15.75" customHeight="1" x14ac:dyDescent="0.25">
      <c r="A161" s="51"/>
    </row>
    <row r="162" spans="1:1" ht="15.75" customHeight="1" x14ac:dyDescent="0.25"/>
    <row r="163" spans="1:1" ht="15.75" customHeight="1" x14ac:dyDescent="0.25"/>
    <row r="164" spans="1:1" ht="15.75" customHeight="1" x14ac:dyDescent="0.25"/>
    <row r="165" spans="1:1" ht="15.75" customHeight="1" x14ac:dyDescent="0.25"/>
    <row r="166" spans="1:1" ht="15.75" customHeight="1" x14ac:dyDescent="0.25"/>
    <row r="167" spans="1:1" ht="15.75" customHeight="1" x14ac:dyDescent="0.25"/>
    <row r="168" spans="1:1" ht="15.75" customHeight="1" x14ac:dyDescent="0.25"/>
    <row r="169" spans="1:1" ht="15.75" customHeight="1" x14ac:dyDescent="0.25"/>
    <row r="170" spans="1:1" ht="15.75" customHeight="1" x14ac:dyDescent="0.25"/>
    <row r="171" spans="1:1" ht="15.75" customHeight="1" x14ac:dyDescent="0.25"/>
    <row r="172" spans="1:1" ht="15.75" customHeight="1" x14ac:dyDescent="0.25"/>
    <row r="173" spans="1:1" ht="15.75" customHeight="1" x14ac:dyDescent="0.25"/>
    <row r="174" spans="1:1" ht="15.75" customHeight="1" x14ac:dyDescent="0.25"/>
    <row r="175" spans="1:1" ht="15.75" customHeight="1" x14ac:dyDescent="0.25"/>
    <row r="176" spans="1:1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mergeCells count="4">
    <mergeCell ref="A9:A10"/>
    <mergeCell ref="B74:C74"/>
    <mergeCell ref="D74:E74"/>
    <mergeCell ref="F80:G80"/>
  </mergeCells>
  <printOptions gridLines="1"/>
  <pageMargins left="0.7" right="0.7" top="0.75" bottom="0.75" header="0" footer="0"/>
  <pageSetup orientation="landscape"/>
  <rowBreaks count="2" manualBreakCount="2">
    <brk id="36" man="1"/>
    <brk id="7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996"/>
  <sheetViews>
    <sheetView workbookViewId="0"/>
  </sheetViews>
  <sheetFormatPr defaultColWidth="14.42578125" defaultRowHeight="15" customHeight="1" x14ac:dyDescent="0.25"/>
  <cols>
    <col min="1" max="1" width="16.7109375" customWidth="1"/>
    <col min="3" max="3" width="16" customWidth="1"/>
    <col min="4" max="4" width="16.140625" customWidth="1"/>
    <col min="5" max="5" width="16.7109375" customWidth="1"/>
    <col min="6" max="6" width="13.28515625" customWidth="1"/>
    <col min="7" max="7" width="14.5703125" customWidth="1"/>
    <col min="8" max="8" width="11" customWidth="1"/>
    <col min="9" max="14" width="14.140625" customWidth="1"/>
    <col min="15" max="15" width="12.85546875" customWidth="1"/>
    <col min="16" max="16" width="12.5703125" customWidth="1"/>
    <col min="17" max="17" width="8.7109375" customWidth="1"/>
    <col min="18" max="18" width="13.42578125" customWidth="1"/>
    <col min="19" max="31" width="8.7109375" customWidth="1"/>
  </cols>
  <sheetData>
    <row r="1" spans="1:31" x14ac:dyDescent="0.25">
      <c r="A1" s="1" t="s">
        <v>121</v>
      </c>
      <c r="B1" s="1"/>
      <c r="C1" s="1"/>
      <c r="D1" s="1"/>
      <c r="E1" s="1"/>
      <c r="F1" s="1"/>
      <c r="G1" s="1"/>
    </row>
    <row r="2" spans="1:31" x14ac:dyDescent="0.2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ht="26.25" x14ac:dyDescent="0.25">
      <c r="A3" s="6" t="s">
        <v>14</v>
      </c>
      <c r="B3" s="6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G3" s="7" t="s">
        <v>117</v>
      </c>
      <c r="H3" s="7" t="s">
        <v>21</v>
      </c>
      <c r="I3" s="7" t="s">
        <v>22</v>
      </c>
      <c r="J3" s="7" t="s">
        <v>23</v>
      </c>
      <c r="K3" s="7" t="s">
        <v>24</v>
      </c>
      <c r="L3" s="7" t="s">
        <v>25</v>
      </c>
      <c r="M3" s="7" t="s">
        <v>26</v>
      </c>
      <c r="N3" s="7" t="s">
        <v>27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x14ac:dyDescent="0.25">
      <c r="A4" s="8" t="s">
        <v>28</v>
      </c>
      <c r="B4" s="9">
        <v>42853.630000000034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>
        <v>43151.06</v>
      </c>
      <c r="N4" s="10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x14ac:dyDescent="0.25">
      <c r="A5" s="8" t="s">
        <v>78</v>
      </c>
      <c r="B5" s="9">
        <v>2720463.1999999993</v>
      </c>
      <c r="C5" s="12">
        <v>613067.28</v>
      </c>
      <c r="D5" s="12">
        <v>734228.06999999983</v>
      </c>
      <c r="E5" s="12">
        <v>738874.27999999991</v>
      </c>
      <c r="F5" s="12">
        <v>55859.55000000001</v>
      </c>
      <c r="G5" s="10">
        <v>-2277</v>
      </c>
      <c r="H5" s="10">
        <v>0</v>
      </c>
      <c r="I5" s="10">
        <v>108821.39</v>
      </c>
      <c r="J5" s="10">
        <v>251029.09000000003</v>
      </c>
      <c r="K5" s="10">
        <v>54688.81</v>
      </c>
      <c r="L5" s="10">
        <v>146295.96999999997</v>
      </c>
      <c r="M5" s="10"/>
      <c r="N5" s="10">
        <v>19875.759999999998</v>
      </c>
      <c r="O5" s="13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x14ac:dyDescent="0.25">
      <c r="A6" s="8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4"/>
      <c r="AA6" s="5"/>
      <c r="AB6" s="5"/>
    </row>
    <row r="7" spans="1:31" x14ac:dyDescent="0.25">
      <c r="A7" s="1" t="s">
        <v>32</v>
      </c>
      <c r="B7" s="15">
        <f t="shared" ref="B7:N7" si="0">SUM(B4:B6)</f>
        <v>2763316.8299999991</v>
      </c>
      <c r="C7" s="15">
        <f t="shared" si="0"/>
        <v>613067.28</v>
      </c>
      <c r="D7" s="15">
        <f t="shared" si="0"/>
        <v>734228.06999999983</v>
      </c>
      <c r="E7" s="15">
        <f t="shared" si="0"/>
        <v>738874.27999999991</v>
      </c>
      <c r="F7" s="15">
        <f t="shared" si="0"/>
        <v>55859.55000000001</v>
      </c>
      <c r="G7" s="15">
        <f t="shared" si="0"/>
        <v>-2277</v>
      </c>
      <c r="H7" s="15">
        <f t="shared" si="0"/>
        <v>0</v>
      </c>
      <c r="I7" s="15">
        <f t="shared" si="0"/>
        <v>108821.39</v>
      </c>
      <c r="J7" s="15">
        <f t="shared" si="0"/>
        <v>251029.09000000003</v>
      </c>
      <c r="K7" s="15">
        <f t="shared" si="0"/>
        <v>54688.81</v>
      </c>
      <c r="L7" s="15">
        <f t="shared" si="0"/>
        <v>146295.96999999997</v>
      </c>
      <c r="M7" s="15">
        <f t="shared" si="0"/>
        <v>43151.06</v>
      </c>
      <c r="N7" s="15">
        <f t="shared" si="0"/>
        <v>19875.759999999998</v>
      </c>
      <c r="AA7" s="5"/>
      <c r="AB7" s="5"/>
    </row>
    <row r="8" spans="1:31" x14ac:dyDescent="0.25">
      <c r="A8" s="1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4"/>
      <c r="AA8" s="5"/>
      <c r="AB8" s="5"/>
    </row>
    <row r="9" spans="1:31" x14ac:dyDescent="0.25">
      <c r="A9" s="67" t="s">
        <v>33</v>
      </c>
      <c r="B9" s="16"/>
      <c r="C9" s="17" t="s">
        <v>3</v>
      </c>
      <c r="D9" s="17" t="s">
        <v>4</v>
      </c>
      <c r="E9" s="17" t="s">
        <v>5</v>
      </c>
      <c r="F9" s="17" t="s">
        <v>6</v>
      </c>
      <c r="G9" s="17" t="s">
        <v>118</v>
      </c>
      <c r="H9" s="17" t="s">
        <v>35</v>
      </c>
      <c r="I9" s="17" t="s">
        <v>8</v>
      </c>
      <c r="J9" s="17" t="s">
        <v>36</v>
      </c>
      <c r="K9" s="17" t="s">
        <v>37</v>
      </c>
      <c r="L9" s="17" t="s">
        <v>38</v>
      </c>
      <c r="M9" s="17" t="s">
        <v>12</v>
      </c>
      <c r="N9" s="17" t="s">
        <v>13</v>
      </c>
      <c r="AA9" s="5"/>
      <c r="AB9" s="5"/>
    </row>
    <row r="10" spans="1:31" x14ac:dyDescent="0.25">
      <c r="A10" s="68"/>
      <c r="B10" s="16">
        <f>SUM(C10:N10)</f>
        <v>2763614.2599999993</v>
      </c>
      <c r="C10" s="18">
        <f t="shared" ref="C10:N10" si="1">C7</f>
        <v>613067.28</v>
      </c>
      <c r="D10" s="18">
        <f t="shared" si="1"/>
        <v>734228.06999999983</v>
      </c>
      <c r="E10" s="18">
        <f t="shared" si="1"/>
        <v>738874.27999999991</v>
      </c>
      <c r="F10" s="18">
        <f t="shared" si="1"/>
        <v>55859.55000000001</v>
      </c>
      <c r="G10" s="18">
        <f t="shared" si="1"/>
        <v>-2277</v>
      </c>
      <c r="H10" s="18">
        <f t="shared" si="1"/>
        <v>0</v>
      </c>
      <c r="I10" s="18">
        <f t="shared" si="1"/>
        <v>108821.39</v>
      </c>
      <c r="J10" s="18">
        <f t="shared" si="1"/>
        <v>251029.09000000003</v>
      </c>
      <c r="K10" s="18">
        <f t="shared" si="1"/>
        <v>54688.81</v>
      </c>
      <c r="L10" s="18">
        <f t="shared" si="1"/>
        <v>146295.96999999997</v>
      </c>
      <c r="M10" s="18">
        <f t="shared" si="1"/>
        <v>43151.06</v>
      </c>
      <c r="N10" s="18">
        <f t="shared" si="1"/>
        <v>19875.759999999998</v>
      </c>
      <c r="O10" s="14"/>
      <c r="AA10" s="5"/>
      <c r="AB10" s="5"/>
    </row>
    <row r="11" spans="1:31" x14ac:dyDescent="0.25">
      <c r="A11" s="19" t="s">
        <v>39</v>
      </c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AA11" s="5"/>
      <c r="AB11" s="5"/>
    </row>
    <row r="12" spans="1:31" x14ac:dyDescent="0.25">
      <c r="A12" s="21" t="s">
        <v>122</v>
      </c>
      <c r="B12" s="10"/>
      <c r="C12" s="10">
        <v>42711.360000000001</v>
      </c>
      <c r="D12" s="10">
        <v>5781.97</v>
      </c>
      <c r="E12" s="10"/>
      <c r="F12" s="10"/>
      <c r="G12" s="10"/>
      <c r="H12" s="10"/>
      <c r="I12" s="10"/>
      <c r="J12" s="10"/>
      <c r="K12" s="10"/>
      <c r="L12" s="10"/>
      <c r="M12" s="10">
        <v>525.55999999999995</v>
      </c>
      <c r="N12" s="10"/>
      <c r="O12" s="14"/>
      <c r="AA12" s="5"/>
      <c r="AB12" s="5"/>
    </row>
    <row r="13" spans="1:31" x14ac:dyDescent="0.25">
      <c r="A13" s="20" t="s">
        <v>41</v>
      </c>
      <c r="B13" s="10"/>
      <c r="C13" s="10"/>
      <c r="D13" s="10"/>
      <c r="E13" s="10"/>
      <c r="F13" s="10"/>
      <c r="AA13" s="5"/>
      <c r="AB13" s="5"/>
    </row>
    <row r="14" spans="1:31" x14ac:dyDescent="0.25">
      <c r="A14" s="21" t="s">
        <v>42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4"/>
      <c r="AA14" s="5"/>
      <c r="AB14" s="5"/>
    </row>
    <row r="15" spans="1:31" x14ac:dyDescent="0.25">
      <c r="A15" s="21" t="s">
        <v>43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22"/>
      <c r="P15" s="22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5"/>
      <c r="AB15" s="5"/>
      <c r="AC15" s="23"/>
      <c r="AD15" s="23"/>
      <c r="AE15" s="23"/>
    </row>
    <row r="16" spans="1:31" x14ac:dyDescent="0.25">
      <c r="A16" s="21" t="s">
        <v>44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22"/>
      <c r="P16" s="22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5"/>
      <c r="AB16" s="5"/>
      <c r="AC16" s="23"/>
      <c r="AD16" s="23"/>
      <c r="AE16" s="23"/>
    </row>
    <row r="17" spans="1:29" x14ac:dyDescent="0.25">
      <c r="A17" s="21" t="s">
        <v>45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AA17" s="5"/>
      <c r="AB17" s="5"/>
    </row>
    <row r="18" spans="1:29" x14ac:dyDescent="0.25">
      <c r="A18" s="21" t="s">
        <v>46</v>
      </c>
      <c r="B18" s="10"/>
      <c r="C18" s="10"/>
      <c r="D18" s="10"/>
      <c r="E18" s="10"/>
      <c r="G18" s="10"/>
      <c r="H18" s="10"/>
      <c r="I18" s="10"/>
      <c r="J18" s="10"/>
      <c r="K18" s="10"/>
      <c r="L18" s="10"/>
      <c r="M18" s="10"/>
      <c r="N18" s="10"/>
      <c r="AA18" s="5"/>
      <c r="AB18" s="5"/>
    </row>
    <row r="19" spans="1:29" ht="15.75" customHeight="1" x14ac:dyDescent="0.25">
      <c r="A19" s="21" t="s">
        <v>47</v>
      </c>
      <c r="B19" s="10"/>
      <c r="C19" s="10"/>
      <c r="D19" s="10"/>
      <c r="E19" s="10"/>
      <c r="F19" s="10"/>
      <c r="H19" s="24"/>
      <c r="I19" s="24"/>
      <c r="J19" s="10"/>
      <c r="K19" s="10"/>
      <c r="L19" s="10"/>
      <c r="M19" s="10"/>
      <c r="N19" s="10"/>
      <c r="O19" s="25"/>
      <c r="P19" s="25"/>
      <c r="Q19" s="25"/>
      <c r="AA19" s="5"/>
      <c r="AB19" s="5"/>
    </row>
    <row r="20" spans="1:29" ht="15.75" customHeight="1" x14ac:dyDescent="0.25">
      <c r="A20" s="1" t="s">
        <v>48</v>
      </c>
      <c r="B20" s="26">
        <f t="shared" ref="B20:B22" si="2">SUM(C20:N20)</f>
        <v>49018.89</v>
      </c>
      <c r="C20" s="9">
        <f t="shared" ref="C20:N20" si="3">SUM(C12:C19)</f>
        <v>42711.360000000001</v>
      </c>
      <c r="D20" s="9">
        <f t="shared" si="3"/>
        <v>5781.97</v>
      </c>
      <c r="E20" s="9">
        <f t="shared" si="3"/>
        <v>0</v>
      </c>
      <c r="F20" s="9">
        <f t="shared" si="3"/>
        <v>0</v>
      </c>
      <c r="G20" s="9">
        <f t="shared" si="3"/>
        <v>0</v>
      </c>
      <c r="H20" s="9">
        <f t="shared" si="3"/>
        <v>0</v>
      </c>
      <c r="I20" s="9">
        <f t="shared" si="3"/>
        <v>0</v>
      </c>
      <c r="J20" s="9">
        <f t="shared" si="3"/>
        <v>0</v>
      </c>
      <c r="K20" s="9">
        <f t="shared" si="3"/>
        <v>0</v>
      </c>
      <c r="L20" s="9">
        <f t="shared" si="3"/>
        <v>0</v>
      </c>
      <c r="M20" s="9">
        <f t="shared" si="3"/>
        <v>525.55999999999995</v>
      </c>
      <c r="N20" s="9">
        <f t="shared" si="3"/>
        <v>0</v>
      </c>
      <c r="O20" s="10"/>
      <c r="P20" s="10"/>
      <c r="Q20" s="10"/>
      <c r="AA20" s="5"/>
      <c r="AB20" s="5"/>
    </row>
    <row r="21" spans="1:29" ht="15.75" customHeight="1" x14ac:dyDescent="0.25">
      <c r="A21" s="1" t="s">
        <v>49</v>
      </c>
      <c r="B21" s="26">
        <f t="shared" si="2"/>
        <v>7979.16</v>
      </c>
      <c r="C21" s="10">
        <v>1785.13</v>
      </c>
      <c r="D21" s="10">
        <v>2155.46</v>
      </c>
      <c r="E21" s="10">
        <v>2169.8000000000002</v>
      </c>
      <c r="F21" s="10">
        <v>163.99</v>
      </c>
      <c r="G21" s="21"/>
      <c r="H21" s="21"/>
      <c r="I21" s="21">
        <v>319.45999999999998</v>
      </c>
      <c r="J21" s="21">
        <v>736.94</v>
      </c>
      <c r="K21" s="21">
        <v>218.9</v>
      </c>
      <c r="L21" s="21">
        <v>429.48</v>
      </c>
      <c r="M21" s="21"/>
      <c r="N21" s="21"/>
      <c r="O21" s="10"/>
      <c r="P21" s="10"/>
      <c r="Q21" s="10"/>
      <c r="AA21" s="5"/>
      <c r="AB21" s="5"/>
    </row>
    <row r="22" spans="1:29" ht="15.75" customHeight="1" x14ac:dyDescent="0.25">
      <c r="A22" s="1" t="s">
        <v>50</v>
      </c>
      <c r="B22" s="26">
        <f t="shared" si="2"/>
        <v>236042.09</v>
      </c>
      <c r="C22" s="10">
        <f>1482.63+101.56+2026.72+1460+1600+9200+1195+1834.59+1267.23+296.95+599.68+1715.03+39551.53+5954+11.95+5411.52+211.45+8130.23+693.62+3525.36+1593.75</f>
        <v>87862.799999999988</v>
      </c>
      <c r="D22" s="10">
        <f>1117+612.25+882.1</f>
        <v>2611.35</v>
      </c>
      <c r="E22" s="10">
        <f>21087.12+2927.06+1361.4+4043.6</f>
        <v>29419.18</v>
      </c>
      <c r="F22" s="10">
        <f>901.13+2478.33</f>
        <v>3379.46</v>
      </c>
      <c r="G22" s="10">
        <v>3011.25</v>
      </c>
      <c r="H22" s="10"/>
      <c r="I22" s="10">
        <v>109758.05</v>
      </c>
      <c r="J22" s="10"/>
      <c r="K22" s="10"/>
      <c r="L22" s="10"/>
      <c r="M22" s="10"/>
      <c r="N22" s="10"/>
      <c r="O22" s="14"/>
      <c r="P22" s="14"/>
      <c r="Q22" s="14"/>
      <c r="R22" s="14"/>
      <c r="AA22" s="5"/>
      <c r="AB22" s="5"/>
    </row>
    <row r="23" spans="1:29" ht="15.75" customHeight="1" x14ac:dyDescent="0.25">
      <c r="A23" s="1" t="s">
        <v>114</v>
      </c>
      <c r="B23" s="9">
        <f>C23+D23+E23+F23+I23</f>
        <v>19.12</v>
      </c>
      <c r="C23" s="10">
        <v>19.12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4"/>
      <c r="P23" s="14"/>
      <c r="Q23" s="14"/>
      <c r="R23" s="14"/>
      <c r="AA23" s="5"/>
      <c r="AB23" s="5"/>
    </row>
    <row r="24" spans="1:29" ht="15.75" customHeight="1" x14ac:dyDescent="0.25">
      <c r="A24" s="1" t="s">
        <v>46</v>
      </c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4"/>
      <c r="P24" s="14"/>
      <c r="Q24" s="14"/>
      <c r="R24" s="14"/>
      <c r="AA24" s="5"/>
      <c r="AB24" s="5"/>
    </row>
    <row r="25" spans="1:29" ht="15.75" customHeight="1" x14ac:dyDescent="0.25">
      <c r="A25" s="1" t="s">
        <v>52</v>
      </c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R25" s="14"/>
      <c r="AA25" s="5"/>
    </row>
    <row r="26" spans="1:29" ht="15.75" customHeight="1" x14ac:dyDescent="0.25">
      <c r="A26" s="1" t="s">
        <v>53</v>
      </c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R26" s="14"/>
      <c r="AA26" s="5"/>
    </row>
    <row r="27" spans="1:29" ht="15.75" customHeight="1" x14ac:dyDescent="0.25">
      <c r="A27" s="1" t="s">
        <v>54</v>
      </c>
      <c r="B27" s="9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R27" s="14"/>
      <c r="AA27" s="5"/>
    </row>
    <row r="28" spans="1:29" ht="15.75" customHeight="1" x14ac:dyDescent="0.25">
      <c r="A28" s="1" t="s">
        <v>47</v>
      </c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R28" s="14"/>
      <c r="AC28" s="27"/>
    </row>
    <row r="29" spans="1:29" ht="15.75" customHeight="1" x14ac:dyDescent="0.25">
      <c r="A29" s="1" t="s">
        <v>55</v>
      </c>
      <c r="B29" s="26">
        <f>SUM(C29:N29)</f>
        <v>236061.21</v>
      </c>
      <c r="C29" s="10">
        <f t="shared" ref="C29:N29" si="4">SUM(C22:C28)</f>
        <v>87881.919999999984</v>
      </c>
      <c r="D29" s="10">
        <f t="shared" si="4"/>
        <v>2611.35</v>
      </c>
      <c r="E29" s="10">
        <f t="shared" si="4"/>
        <v>29419.18</v>
      </c>
      <c r="F29" s="10">
        <f t="shared" si="4"/>
        <v>3379.46</v>
      </c>
      <c r="G29" s="10">
        <f t="shared" si="4"/>
        <v>3011.25</v>
      </c>
      <c r="H29" s="10">
        <f t="shared" si="4"/>
        <v>0</v>
      </c>
      <c r="I29" s="10">
        <f t="shared" si="4"/>
        <v>109758.05</v>
      </c>
      <c r="J29" s="10">
        <f t="shared" si="4"/>
        <v>0</v>
      </c>
      <c r="K29" s="10">
        <f t="shared" si="4"/>
        <v>0</v>
      </c>
      <c r="L29" s="10">
        <f t="shared" si="4"/>
        <v>0</v>
      </c>
      <c r="M29" s="10">
        <f t="shared" si="4"/>
        <v>0</v>
      </c>
      <c r="N29" s="10">
        <f t="shared" si="4"/>
        <v>0</v>
      </c>
      <c r="R29" s="14"/>
    </row>
    <row r="30" spans="1:29" ht="15.75" customHeight="1" x14ac:dyDescent="0.25">
      <c r="A30" s="1" t="s">
        <v>56</v>
      </c>
      <c r="B30" s="26">
        <f>C30+E30+D30</f>
        <v>7398.6299999999992</v>
      </c>
      <c r="C30" s="10">
        <v>6051.99</v>
      </c>
      <c r="D30" s="10">
        <v>853.2</v>
      </c>
      <c r="E30" s="10">
        <v>493.44</v>
      </c>
      <c r="F30" s="10">
        <v>6767.35</v>
      </c>
      <c r="H30" s="25"/>
      <c r="I30" s="25"/>
      <c r="J30" s="25"/>
      <c r="K30" s="25"/>
      <c r="L30" s="25"/>
      <c r="M30" s="25"/>
      <c r="N30" s="25"/>
    </row>
    <row r="31" spans="1:29" ht="15.75" customHeight="1" x14ac:dyDescent="0.25">
      <c r="A31" s="1" t="s">
        <v>56</v>
      </c>
      <c r="B31" s="26">
        <f t="shared" ref="B31:B33" si="5">SUM(C31:G31)</f>
        <v>24854.06</v>
      </c>
      <c r="C31" s="10">
        <v>15816.51</v>
      </c>
      <c r="D31" s="10">
        <v>1232.27</v>
      </c>
      <c r="E31" s="10">
        <v>6686.88</v>
      </c>
      <c r="F31" s="10">
        <v>1118.4000000000001</v>
      </c>
    </row>
    <row r="32" spans="1:29" ht="15.75" customHeight="1" x14ac:dyDescent="0.25">
      <c r="A32" s="1" t="s">
        <v>56</v>
      </c>
      <c r="B32" s="26">
        <f t="shared" si="5"/>
        <v>0</v>
      </c>
      <c r="C32" s="10"/>
      <c r="D32" s="10"/>
      <c r="E32" s="10"/>
    </row>
    <row r="33" spans="1:15" ht="15.75" customHeight="1" x14ac:dyDescent="0.25">
      <c r="A33" s="1" t="s">
        <v>56</v>
      </c>
      <c r="B33" s="26">
        <f t="shared" si="5"/>
        <v>0</v>
      </c>
      <c r="C33" s="10"/>
      <c r="D33" s="10"/>
      <c r="E33" s="10"/>
    </row>
    <row r="34" spans="1:15" ht="15.75" customHeight="1" x14ac:dyDescent="0.25">
      <c r="A34" s="1" t="s">
        <v>57</v>
      </c>
      <c r="B34" s="15">
        <f t="shared" ref="B34:B35" si="6">SUM(C34:N34)</f>
        <v>2545520.9699999997</v>
      </c>
      <c r="C34" s="12">
        <f t="shared" ref="C34:E34" si="7">C10+C20+C21-C31-C29-C30-C32-C33</f>
        <v>547813.35000000009</v>
      </c>
      <c r="D34" s="12">
        <f t="shared" si="7"/>
        <v>737468.67999999982</v>
      </c>
      <c r="E34" s="12">
        <f t="shared" si="7"/>
        <v>704444.58</v>
      </c>
      <c r="F34" s="12">
        <f>F10+F20+F21-F29-F30-F31-F32</f>
        <v>44758.330000000009</v>
      </c>
      <c r="G34" s="12">
        <f t="shared" ref="G34:L34" si="8">G10+G20+G21-G31-G29-G30-G32</f>
        <v>-5288.25</v>
      </c>
      <c r="H34" s="12">
        <f t="shared" si="8"/>
        <v>0</v>
      </c>
      <c r="I34" s="12">
        <f t="shared" si="8"/>
        <v>-617.19999999999709</v>
      </c>
      <c r="J34" s="12">
        <f t="shared" si="8"/>
        <v>251766.03000000003</v>
      </c>
      <c r="K34" s="12">
        <f t="shared" si="8"/>
        <v>54907.71</v>
      </c>
      <c r="L34" s="12">
        <f t="shared" si="8"/>
        <v>146725.44999999998</v>
      </c>
      <c r="M34" s="12">
        <f>B57-M29</f>
        <v>43666.530000000006</v>
      </c>
      <c r="N34" s="12">
        <f>N10+N20+N21-N31-N29-N30-N32</f>
        <v>19875.759999999998</v>
      </c>
    </row>
    <row r="35" spans="1:15" ht="15.75" customHeight="1" x14ac:dyDescent="0.25">
      <c r="A35" s="1" t="s">
        <v>123</v>
      </c>
      <c r="B35" s="9">
        <f t="shared" si="6"/>
        <v>2541541.8799999994</v>
      </c>
      <c r="C35" s="12">
        <f>156061+9091.86+379267.6</f>
        <v>544420.46</v>
      </c>
      <c r="D35" s="12">
        <f>404121.95+184435.27+148911.46</f>
        <v>737468.67999999993</v>
      </c>
      <c r="E35" s="12">
        <f>133011.8+28592.54+543079.3</f>
        <v>704683.64</v>
      </c>
      <c r="F35" s="12">
        <f>55599.09-10840.76</f>
        <v>44758.329999999994</v>
      </c>
      <c r="G35" s="12">
        <v>-5288.25</v>
      </c>
      <c r="H35" s="12">
        <v>0</v>
      </c>
      <c r="I35" s="12">
        <f>1336.22-1953.41</f>
        <v>-617.19000000000005</v>
      </c>
      <c r="J35" s="12">
        <f>2230.77+249535.26</f>
        <v>251766.03</v>
      </c>
      <c r="K35" s="12">
        <f>45543.33+9364.38</f>
        <v>54907.71</v>
      </c>
      <c r="L35" s="12">
        <f>3498.18+46973+96254.27</f>
        <v>146725.45000000001</v>
      </c>
      <c r="M35" s="12">
        <v>42841.26</v>
      </c>
      <c r="N35" s="12">
        <v>19875.759999999998</v>
      </c>
    </row>
    <row r="36" spans="1:15" ht="15.75" customHeight="1" x14ac:dyDescent="0.25">
      <c r="A36" s="1" t="s">
        <v>59</v>
      </c>
      <c r="B36" s="9">
        <f t="shared" ref="B36:N36" si="9">B35-B34</f>
        <v>-3979.0900000003166</v>
      </c>
      <c r="C36" s="9">
        <f t="shared" si="9"/>
        <v>-3392.8900000001304</v>
      </c>
      <c r="D36" s="9">
        <f t="shared" si="9"/>
        <v>0</v>
      </c>
      <c r="E36" s="9">
        <f t="shared" si="9"/>
        <v>239.06000000005588</v>
      </c>
      <c r="F36" s="9">
        <f t="shared" si="9"/>
        <v>0</v>
      </c>
      <c r="G36" s="9">
        <f t="shared" si="9"/>
        <v>0</v>
      </c>
      <c r="H36" s="9">
        <f t="shared" si="9"/>
        <v>0</v>
      </c>
      <c r="I36" s="9">
        <f t="shared" si="9"/>
        <v>9.9999999970350473E-3</v>
      </c>
      <c r="J36" s="9">
        <f t="shared" si="9"/>
        <v>0</v>
      </c>
      <c r="K36" s="9">
        <f t="shared" si="9"/>
        <v>0</v>
      </c>
      <c r="L36" s="9">
        <f t="shared" si="9"/>
        <v>0</v>
      </c>
      <c r="M36" s="9">
        <f t="shared" si="9"/>
        <v>-825.27000000000407</v>
      </c>
      <c r="N36" s="9">
        <f t="shared" si="9"/>
        <v>0</v>
      </c>
      <c r="O36" s="12"/>
    </row>
    <row r="37" spans="1:15" ht="15.75" customHeight="1" x14ac:dyDescent="0.25">
      <c r="A37" s="28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5" ht="15.75" customHeight="1" x14ac:dyDescent="0.25">
      <c r="A38" s="29" t="s">
        <v>61</v>
      </c>
      <c r="B38" s="16">
        <f>M7</f>
        <v>43151.06</v>
      </c>
      <c r="C38" s="17" t="s">
        <v>3</v>
      </c>
      <c r="D38" s="17" t="s">
        <v>4</v>
      </c>
      <c r="E38" s="17" t="s">
        <v>5</v>
      </c>
      <c r="F38" s="17" t="s">
        <v>6</v>
      </c>
      <c r="G38" s="17" t="s">
        <v>118</v>
      </c>
      <c r="H38" s="17" t="s">
        <v>35</v>
      </c>
      <c r="I38" s="17" t="s">
        <v>8</v>
      </c>
      <c r="J38" s="17" t="s">
        <v>36</v>
      </c>
      <c r="K38" s="17" t="s">
        <v>37</v>
      </c>
      <c r="L38" s="17" t="s">
        <v>38</v>
      </c>
      <c r="M38" s="17" t="s">
        <v>12</v>
      </c>
      <c r="N38" s="17" t="s">
        <v>13</v>
      </c>
    </row>
    <row r="39" spans="1:15" ht="15.75" customHeight="1" x14ac:dyDescent="0.25">
      <c r="A39" s="19" t="s">
        <v>62</v>
      </c>
      <c r="B39" s="10">
        <f t="shared" ref="B39:B42" si="10">C39+E39+D39+F39</f>
        <v>14165.98</v>
      </c>
      <c r="C39" s="10">
        <v>6051.99</v>
      </c>
      <c r="D39" s="10">
        <v>853.2</v>
      </c>
      <c r="E39" s="10">
        <v>493.44</v>
      </c>
      <c r="F39" s="10">
        <v>6767.35</v>
      </c>
      <c r="H39" s="25"/>
      <c r="I39" s="25"/>
      <c r="J39" s="25"/>
      <c r="K39" s="25"/>
      <c r="L39" s="25"/>
      <c r="M39" s="25"/>
      <c r="N39" s="25"/>
    </row>
    <row r="40" spans="1:15" ht="15.75" customHeight="1" x14ac:dyDescent="0.25">
      <c r="A40" s="10"/>
      <c r="B40" s="10">
        <f t="shared" si="10"/>
        <v>24854.06</v>
      </c>
      <c r="C40" s="10">
        <v>15816.51</v>
      </c>
      <c r="D40" s="10">
        <v>1232.27</v>
      </c>
      <c r="E40" s="10">
        <v>6686.88</v>
      </c>
      <c r="F40" s="10">
        <v>1118.4000000000001</v>
      </c>
      <c r="H40" s="25"/>
      <c r="I40" s="25"/>
      <c r="J40" s="25"/>
      <c r="K40" s="25"/>
      <c r="L40" s="25"/>
      <c r="M40" s="25"/>
      <c r="N40" s="25"/>
    </row>
    <row r="41" spans="1:15" ht="15.75" customHeight="1" x14ac:dyDescent="0.25">
      <c r="A41" s="21"/>
      <c r="B41" s="10">
        <f t="shared" si="10"/>
        <v>0</v>
      </c>
      <c r="C41" s="10"/>
      <c r="D41" s="10"/>
      <c r="E41" s="10"/>
      <c r="H41" s="25"/>
      <c r="I41" s="25"/>
      <c r="J41" s="25"/>
      <c r="K41" s="25"/>
      <c r="L41" s="25"/>
      <c r="M41" s="25"/>
      <c r="N41" s="25"/>
    </row>
    <row r="42" spans="1:15" ht="15.75" customHeight="1" x14ac:dyDescent="0.25">
      <c r="A42" s="21"/>
      <c r="B42" s="10">
        <f t="shared" si="10"/>
        <v>0</v>
      </c>
      <c r="C42" s="10"/>
      <c r="D42" s="10"/>
      <c r="E42" s="10"/>
      <c r="F42" s="10"/>
      <c r="H42" s="21"/>
      <c r="I42" s="21"/>
      <c r="J42" s="21"/>
      <c r="K42" s="21"/>
      <c r="L42" s="21"/>
      <c r="M42" s="21"/>
      <c r="N42" s="21"/>
    </row>
    <row r="43" spans="1:15" ht="15.75" customHeight="1" x14ac:dyDescent="0.25">
      <c r="A43" s="21"/>
      <c r="B43" s="10">
        <f>C43+D43+E43</f>
        <v>0</v>
      </c>
      <c r="C43" s="10"/>
      <c r="D43" s="10"/>
      <c r="E43" s="10"/>
      <c r="F43" s="10"/>
      <c r="H43" s="21"/>
      <c r="I43" s="21"/>
      <c r="J43" s="21"/>
      <c r="K43" s="21"/>
      <c r="L43" s="21"/>
      <c r="M43" s="21"/>
      <c r="N43" s="21"/>
    </row>
    <row r="44" spans="1:15" ht="15.75" customHeight="1" x14ac:dyDescent="0.25">
      <c r="A44" s="1" t="s">
        <v>63</v>
      </c>
      <c r="B44" s="26">
        <f t="shared" ref="B44:B45" si="11">M44</f>
        <v>39020.04</v>
      </c>
      <c r="C44" s="10">
        <f t="shared" ref="C44:L44" si="12">SUM(C39:C43)</f>
        <v>21868.5</v>
      </c>
      <c r="D44" s="10">
        <f t="shared" si="12"/>
        <v>2085.4700000000003</v>
      </c>
      <c r="E44" s="10">
        <f t="shared" si="12"/>
        <v>7180.32</v>
      </c>
      <c r="F44" s="10">
        <f t="shared" si="12"/>
        <v>7885.75</v>
      </c>
      <c r="G44" s="10">
        <f t="shared" si="12"/>
        <v>0</v>
      </c>
      <c r="H44" s="10">
        <f t="shared" si="12"/>
        <v>0</v>
      </c>
      <c r="I44" s="10">
        <f t="shared" si="12"/>
        <v>0</v>
      </c>
      <c r="J44" s="10">
        <f t="shared" si="12"/>
        <v>0</v>
      </c>
      <c r="K44" s="10">
        <f t="shared" si="12"/>
        <v>0</v>
      </c>
      <c r="L44" s="10">
        <f t="shared" si="12"/>
        <v>0</v>
      </c>
      <c r="M44" s="26">
        <f>SUM(C44:L44)</f>
        <v>39020.04</v>
      </c>
      <c r="N44" s="9"/>
    </row>
    <row r="45" spans="1:15" ht="15.75" customHeight="1" x14ac:dyDescent="0.25">
      <c r="A45" s="1" t="s">
        <v>49</v>
      </c>
      <c r="B45" s="26">
        <f t="shared" si="11"/>
        <v>0</v>
      </c>
      <c r="D45" s="10"/>
      <c r="E45" s="10"/>
      <c r="F45" s="10"/>
      <c r="H45" s="9"/>
      <c r="I45" s="9"/>
      <c r="J45" s="9"/>
      <c r="K45" s="9"/>
      <c r="L45" s="9"/>
      <c r="M45" s="26"/>
      <c r="N45" s="9"/>
    </row>
    <row r="46" spans="1:15" ht="15.75" customHeight="1" x14ac:dyDescent="0.25">
      <c r="A46" s="1" t="s">
        <v>64</v>
      </c>
      <c r="B46" s="9"/>
      <c r="C46" s="10"/>
      <c r="D46" s="10"/>
      <c r="E46" s="10"/>
      <c r="F46" s="10"/>
      <c r="H46" s="10"/>
      <c r="I46" s="10"/>
      <c r="J46" s="10"/>
      <c r="K46" s="10"/>
      <c r="L46" s="10"/>
      <c r="M46" s="10"/>
      <c r="N46" s="10"/>
    </row>
    <row r="47" spans="1:15" ht="15.75" customHeight="1" x14ac:dyDescent="0.25">
      <c r="A47" s="21" t="s">
        <v>65</v>
      </c>
      <c r="C47" s="10"/>
      <c r="D47" s="10"/>
      <c r="E47" s="10"/>
      <c r="F47" s="10"/>
      <c r="H47" s="10"/>
      <c r="I47" s="10"/>
      <c r="J47" s="10"/>
      <c r="K47" s="10"/>
      <c r="L47" s="10"/>
      <c r="M47" s="10">
        <v>24558.400000000001</v>
      </c>
      <c r="N47" s="10"/>
      <c r="O47" s="10"/>
    </row>
    <row r="48" spans="1:15" ht="15.75" customHeight="1" x14ac:dyDescent="0.25">
      <c r="A48" s="21" t="s">
        <v>66</v>
      </c>
      <c r="C48" s="10"/>
      <c r="D48" s="10"/>
      <c r="E48" s="10"/>
      <c r="F48" s="10"/>
      <c r="H48" s="10"/>
      <c r="I48" s="10"/>
      <c r="J48" s="10"/>
      <c r="K48" s="10"/>
      <c r="L48" s="10"/>
      <c r="M48" s="10">
        <v>1996.5</v>
      </c>
      <c r="N48" s="10"/>
    </row>
    <row r="49" spans="1:14" ht="15.75" customHeight="1" x14ac:dyDescent="0.25">
      <c r="A49" s="21" t="s">
        <v>67</v>
      </c>
      <c r="C49" s="10"/>
      <c r="D49" s="10"/>
      <c r="E49" s="10"/>
      <c r="F49" s="10"/>
      <c r="H49" s="10"/>
      <c r="I49" s="10"/>
      <c r="J49" s="10"/>
      <c r="K49" s="10"/>
      <c r="L49" s="10"/>
      <c r="M49" s="10">
        <v>8110.24</v>
      </c>
      <c r="N49" s="10"/>
    </row>
    <row r="50" spans="1:14" ht="15.75" customHeight="1" x14ac:dyDescent="0.25">
      <c r="A50" s="21" t="s">
        <v>68</v>
      </c>
      <c r="B50" s="10"/>
      <c r="C50" s="10"/>
      <c r="D50" s="10"/>
      <c r="E50" s="10"/>
      <c r="F50" s="10"/>
      <c r="H50" s="10"/>
      <c r="I50" s="10"/>
      <c r="J50" s="10"/>
      <c r="K50" s="10"/>
      <c r="L50" s="10"/>
      <c r="M50" s="10">
        <v>1214.33</v>
      </c>
      <c r="N50" s="10"/>
    </row>
    <row r="51" spans="1:14" ht="15.75" customHeight="1" x14ac:dyDescent="0.25">
      <c r="A51" s="21" t="s">
        <v>69</v>
      </c>
      <c r="B51" s="10"/>
      <c r="C51" s="10"/>
      <c r="D51" s="10"/>
      <c r="E51" s="10"/>
      <c r="F51" s="10"/>
      <c r="H51" s="10"/>
      <c r="I51" s="10"/>
      <c r="J51" s="10"/>
      <c r="K51" s="10"/>
      <c r="L51" s="10"/>
      <c r="M51" s="10">
        <v>248</v>
      </c>
      <c r="N51" s="10"/>
    </row>
    <row r="52" spans="1:14" ht="15.75" customHeight="1" x14ac:dyDescent="0.25">
      <c r="A52" s="21" t="s">
        <v>70</v>
      </c>
      <c r="B52" s="10"/>
      <c r="C52" s="10"/>
      <c r="D52" s="10"/>
      <c r="E52" s="10"/>
      <c r="F52" s="10"/>
      <c r="H52" s="10"/>
      <c r="I52" s="10"/>
      <c r="J52" s="10"/>
      <c r="K52" s="10"/>
      <c r="L52" s="10"/>
      <c r="M52" s="10">
        <v>1192.6500000000001</v>
      </c>
      <c r="N52" s="10"/>
    </row>
    <row r="53" spans="1:14" ht="15.75" customHeight="1" x14ac:dyDescent="0.25">
      <c r="A53" s="21" t="s">
        <v>71</v>
      </c>
      <c r="B53" s="10"/>
      <c r="C53" s="10"/>
      <c r="D53" s="10"/>
      <c r="E53" s="10"/>
      <c r="F53" s="10"/>
      <c r="H53" s="10"/>
      <c r="I53" s="10"/>
      <c r="J53" s="10"/>
      <c r="K53" s="10"/>
      <c r="L53" s="10"/>
      <c r="M53" s="10">
        <v>940.27</v>
      </c>
      <c r="N53" s="10"/>
    </row>
    <row r="54" spans="1:14" ht="15.75" customHeight="1" x14ac:dyDescent="0.25">
      <c r="A54" s="21" t="s">
        <v>72</v>
      </c>
      <c r="B54" s="10"/>
      <c r="C54" s="10"/>
      <c r="D54" s="10"/>
      <c r="E54" s="10"/>
      <c r="F54" s="10"/>
      <c r="H54" s="10"/>
      <c r="I54" s="10"/>
      <c r="J54" s="10"/>
      <c r="K54" s="10"/>
      <c r="L54" s="10"/>
      <c r="M54" s="10">
        <v>769.74</v>
      </c>
      <c r="N54" s="10"/>
    </row>
    <row r="55" spans="1:14" ht="15.75" customHeight="1" x14ac:dyDescent="0.25">
      <c r="A55" s="21" t="s">
        <v>73</v>
      </c>
      <c r="B55" s="10"/>
      <c r="C55" s="10"/>
      <c r="D55" s="10"/>
      <c r="E55" s="10"/>
      <c r="F55" s="10"/>
      <c r="H55" s="10"/>
      <c r="I55" s="10"/>
      <c r="J55" s="10"/>
      <c r="K55" s="10"/>
      <c r="L55" s="10"/>
      <c r="M55" s="10">
        <v>-525.55999999999995</v>
      </c>
      <c r="N55" s="10"/>
    </row>
    <row r="56" spans="1:14" ht="15.75" customHeight="1" x14ac:dyDescent="0.25">
      <c r="A56" s="1" t="s">
        <v>74</v>
      </c>
      <c r="B56" s="26">
        <f>SUM(C56:M56)</f>
        <v>38504.57</v>
      </c>
      <c r="C56" s="10"/>
      <c r="D56" s="10"/>
      <c r="E56" s="10"/>
      <c r="F56" s="10"/>
      <c r="H56" s="9"/>
      <c r="I56" s="9"/>
      <c r="J56" s="9"/>
      <c r="K56" s="9"/>
      <c r="L56" s="9"/>
      <c r="M56" s="26">
        <f>SUM(M47:M55)</f>
        <v>38504.57</v>
      </c>
      <c r="N56" s="9"/>
    </row>
    <row r="57" spans="1:14" ht="15.75" customHeight="1" x14ac:dyDescent="0.25">
      <c r="A57" s="1" t="s">
        <v>57</v>
      </c>
      <c r="B57" s="15">
        <f>B38+B44+B45-B56</f>
        <v>43666.530000000006</v>
      </c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1:14" ht="15.75" customHeight="1" x14ac:dyDescent="0.25">
      <c r="A58" s="1"/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1:14" ht="15.75" customHeight="1" x14ac:dyDescent="0.25">
      <c r="A59" s="2" t="s">
        <v>75</v>
      </c>
      <c r="B59" s="3" t="s">
        <v>2</v>
      </c>
      <c r="C59" s="4" t="s">
        <v>3</v>
      </c>
      <c r="D59" s="4" t="s">
        <v>4</v>
      </c>
      <c r="E59" s="4" t="s">
        <v>5</v>
      </c>
      <c r="F59" s="4" t="s">
        <v>6</v>
      </c>
      <c r="G59" s="4" t="s">
        <v>7</v>
      </c>
      <c r="H59" s="4" t="s">
        <v>7</v>
      </c>
      <c r="I59" s="4" t="s">
        <v>8</v>
      </c>
      <c r="J59" s="4" t="s">
        <v>9</v>
      </c>
      <c r="K59" s="4" t="s">
        <v>9</v>
      </c>
      <c r="L59" s="4" t="s">
        <v>9</v>
      </c>
      <c r="M59" s="4" t="s">
        <v>12</v>
      </c>
      <c r="N59" s="4" t="s">
        <v>13</v>
      </c>
    </row>
    <row r="60" spans="1:14" ht="15.75" customHeight="1" x14ac:dyDescent="0.25">
      <c r="A60" s="6" t="s">
        <v>14</v>
      </c>
      <c r="B60" s="6" t="s">
        <v>76</v>
      </c>
      <c r="C60" s="7" t="s">
        <v>16</v>
      </c>
      <c r="D60" s="7" t="s">
        <v>17</v>
      </c>
      <c r="E60" s="7" t="s">
        <v>18</v>
      </c>
      <c r="F60" s="7" t="s">
        <v>19</v>
      </c>
      <c r="G60" s="7" t="s">
        <v>117</v>
      </c>
      <c r="H60" s="7" t="s">
        <v>21</v>
      </c>
      <c r="I60" s="7" t="s">
        <v>22</v>
      </c>
      <c r="J60" s="7" t="s">
        <v>77</v>
      </c>
      <c r="K60" s="7" t="s">
        <v>24</v>
      </c>
      <c r="L60" s="7" t="s">
        <v>25</v>
      </c>
      <c r="M60" s="7" t="s">
        <v>26</v>
      </c>
      <c r="N60" s="7" t="s">
        <v>27</v>
      </c>
    </row>
    <row r="61" spans="1:14" ht="15.75" customHeight="1" x14ac:dyDescent="0.25">
      <c r="A61" s="8" t="s">
        <v>28</v>
      </c>
      <c r="B61" s="9">
        <f t="shared" ref="B61:B62" si="13">SUM(C61:N61)</f>
        <v>43666.530000000006</v>
      </c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>
        <f>B57</f>
        <v>43666.530000000006</v>
      </c>
      <c r="N61" s="10"/>
    </row>
    <row r="62" spans="1:14" ht="15.75" customHeight="1" x14ac:dyDescent="0.25">
      <c r="A62" s="8" t="s">
        <v>78</v>
      </c>
      <c r="B62" s="9">
        <f t="shared" si="13"/>
        <v>2501854.44</v>
      </c>
      <c r="C62" s="12">
        <f t="shared" ref="C62:L62" si="14">C34</f>
        <v>547813.35000000009</v>
      </c>
      <c r="D62" s="12">
        <f t="shared" si="14"/>
        <v>737468.67999999982</v>
      </c>
      <c r="E62" s="12">
        <f t="shared" si="14"/>
        <v>704444.58</v>
      </c>
      <c r="F62" s="12">
        <f t="shared" si="14"/>
        <v>44758.330000000009</v>
      </c>
      <c r="G62" s="10">
        <f t="shared" si="14"/>
        <v>-5288.25</v>
      </c>
      <c r="H62" s="10">
        <f t="shared" si="14"/>
        <v>0</v>
      </c>
      <c r="I62" s="10">
        <f t="shared" si="14"/>
        <v>-617.19999999999709</v>
      </c>
      <c r="J62" s="10">
        <f t="shared" si="14"/>
        <v>251766.03000000003</v>
      </c>
      <c r="K62" s="10">
        <f t="shared" si="14"/>
        <v>54907.71</v>
      </c>
      <c r="L62" s="10">
        <f t="shared" si="14"/>
        <v>146725.44999999998</v>
      </c>
      <c r="M62" s="10"/>
      <c r="N62" s="10">
        <f>N34</f>
        <v>19875.759999999998</v>
      </c>
    </row>
    <row r="63" spans="1:14" ht="15.75" customHeight="1" x14ac:dyDescent="0.25">
      <c r="A63" s="8"/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1:14" ht="15.75" customHeight="1" x14ac:dyDescent="0.25">
      <c r="A64" s="1" t="s">
        <v>32</v>
      </c>
      <c r="B64" s="15">
        <f>SUM(C64:N64)</f>
        <v>2545520.9699999997</v>
      </c>
      <c r="C64" s="15">
        <f t="shared" ref="C64:N64" si="15">SUM(C61:C62)</f>
        <v>547813.35000000009</v>
      </c>
      <c r="D64" s="15">
        <f t="shared" si="15"/>
        <v>737468.67999999982</v>
      </c>
      <c r="E64" s="15">
        <f t="shared" si="15"/>
        <v>704444.58</v>
      </c>
      <c r="F64" s="15">
        <f t="shared" si="15"/>
        <v>44758.330000000009</v>
      </c>
      <c r="G64" s="15">
        <f t="shared" si="15"/>
        <v>-5288.25</v>
      </c>
      <c r="H64" s="15">
        <f t="shared" si="15"/>
        <v>0</v>
      </c>
      <c r="I64" s="15">
        <f t="shared" si="15"/>
        <v>-617.19999999999709</v>
      </c>
      <c r="J64" s="15">
        <f t="shared" si="15"/>
        <v>251766.03000000003</v>
      </c>
      <c r="K64" s="15">
        <f t="shared" si="15"/>
        <v>54907.71</v>
      </c>
      <c r="L64" s="15">
        <f t="shared" si="15"/>
        <v>146725.44999999998</v>
      </c>
      <c r="M64" s="15">
        <f t="shared" si="15"/>
        <v>43666.530000000006</v>
      </c>
      <c r="N64" s="15">
        <f t="shared" si="15"/>
        <v>19875.759999999998</v>
      </c>
    </row>
    <row r="65" spans="1:19" ht="15.75" customHeight="1" x14ac:dyDescent="0.25">
      <c r="A65" s="21"/>
      <c r="B65" s="21"/>
      <c r="C65" s="10"/>
      <c r="D65" s="10"/>
      <c r="E65" s="10"/>
      <c r="F65" s="10"/>
    </row>
    <row r="66" spans="1:19" ht="15.75" customHeight="1" x14ac:dyDescent="0.25">
      <c r="A66" s="21" t="str">
        <f>A1</f>
        <v xml:space="preserve">Month: May 2025                                                                                                                                </v>
      </c>
      <c r="B66" s="21"/>
      <c r="D66" s="10"/>
      <c r="E66" s="10"/>
      <c r="G66" s="10"/>
      <c r="H66" s="10"/>
      <c r="I66" s="10"/>
    </row>
    <row r="67" spans="1:19" ht="15.75" customHeight="1" x14ac:dyDescent="0.25">
      <c r="A67" s="10"/>
      <c r="B67" s="27" t="s">
        <v>79</v>
      </c>
      <c r="C67" s="27" t="s">
        <v>80</v>
      </c>
      <c r="D67" s="27" t="s">
        <v>81</v>
      </c>
      <c r="E67" s="27" t="s">
        <v>82</v>
      </c>
      <c r="F67" s="11" t="s">
        <v>83</v>
      </c>
      <c r="G67" s="10"/>
      <c r="H67" s="10"/>
      <c r="I67" s="10"/>
    </row>
    <row r="68" spans="1:19" ht="15.75" customHeight="1" x14ac:dyDescent="0.25">
      <c r="A68" s="30" t="s">
        <v>84</v>
      </c>
      <c r="B68" s="10"/>
      <c r="C68" s="10">
        <v>378366.01</v>
      </c>
      <c r="D68" s="10">
        <f>C103</f>
        <v>65457.61</v>
      </c>
      <c r="E68" s="10">
        <f>D89</f>
        <v>0</v>
      </c>
      <c r="F68" s="10">
        <f t="shared" ref="F68:F69" si="16">(C68-D68+E68)-B68</f>
        <v>312908.40000000002</v>
      </c>
      <c r="G68" s="10"/>
      <c r="H68" s="10"/>
      <c r="I68" s="10">
        <f>C68-D68</f>
        <v>312908.40000000002</v>
      </c>
      <c r="O68" s="14"/>
    </row>
    <row r="69" spans="1:19" ht="15.75" customHeight="1" x14ac:dyDescent="0.25">
      <c r="A69" s="30" t="s">
        <v>85</v>
      </c>
      <c r="B69" s="10">
        <f>B35-M35</f>
        <v>2498700.6199999996</v>
      </c>
      <c r="C69" s="10">
        <f>121347.61+2049260.14</f>
        <v>2170607.75</v>
      </c>
      <c r="D69" s="10">
        <f>D85</f>
        <v>0</v>
      </c>
      <c r="E69" s="10">
        <f>E81</f>
        <v>0</v>
      </c>
      <c r="F69" s="10">
        <f t="shared" si="16"/>
        <v>-328092.86999999965</v>
      </c>
      <c r="H69" s="10"/>
      <c r="I69" s="10">
        <f>C69+E69</f>
        <v>2170607.75</v>
      </c>
    </row>
    <row r="70" spans="1:19" ht="15.75" customHeight="1" x14ac:dyDescent="0.25">
      <c r="A70" s="30"/>
      <c r="B70" s="10"/>
      <c r="C70" s="10"/>
      <c r="D70" s="10"/>
      <c r="F70" s="31">
        <f>F68+F69</f>
        <v>-15184.469999999623</v>
      </c>
      <c r="G70" s="10"/>
      <c r="H70" s="10"/>
      <c r="I70" s="10">
        <f>I68+I69</f>
        <v>2483516.15</v>
      </c>
      <c r="O70" s="14"/>
    </row>
    <row r="71" spans="1:19" ht="15.75" customHeight="1" x14ac:dyDescent="0.25">
      <c r="A71" s="30" t="s">
        <v>28</v>
      </c>
      <c r="B71" s="10">
        <f>B57</f>
        <v>43666.530000000006</v>
      </c>
      <c r="C71" s="10">
        <v>47125.38</v>
      </c>
      <c r="D71" s="10">
        <f>J86</f>
        <v>1770.02</v>
      </c>
      <c r="E71" s="10">
        <f>J92</f>
        <v>0</v>
      </c>
      <c r="F71" s="10">
        <f>(C71-D71+E71)-B71</f>
        <v>1688.8299999999945</v>
      </c>
      <c r="G71" s="10"/>
      <c r="H71" s="10"/>
      <c r="I71" s="10"/>
    </row>
    <row r="72" spans="1:19" ht="15.75" customHeight="1" x14ac:dyDescent="0.25">
      <c r="A72" s="8"/>
      <c r="B72" s="10"/>
      <c r="C72" s="10" t="s">
        <v>86</v>
      </c>
      <c r="D72" s="10"/>
      <c r="E72" s="10" t="s">
        <v>87</v>
      </c>
      <c r="F72" s="31">
        <f>F70+F71</f>
        <v>-13495.639999999628</v>
      </c>
      <c r="G72" s="10"/>
      <c r="H72" s="10"/>
      <c r="I72" s="10"/>
      <c r="J72" s="32"/>
      <c r="K72" s="32"/>
      <c r="L72" s="32"/>
      <c r="M72" s="32"/>
      <c r="N72" s="32"/>
    </row>
    <row r="73" spans="1:19" ht="15.75" customHeight="1" x14ac:dyDescent="0.25">
      <c r="A73" s="8"/>
      <c r="B73" s="10"/>
      <c r="C73" s="10"/>
      <c r="D73" s="10"/>
      <c r="E73" s="10"/>
      <c r="F73" s="10"/>
      <c r="G73" s="10"/>
      <c r="H73" s="10"/>
      <c r="I73" s="10"/>
      <c r="J73" s="32"/>
      <c r="K73" s="32"/>
      <c r="L73" s="32"/>
      <c r="M73" s="32"/>
      <c r="N73" s="32"/>
    </row>
    <row r="74" spans="1:19" ht="15.75" customHeight="1" x14ac:dyDescent="0.25">
      <c r="A74" s="27"/>
      <c r="B74" s="69" t="s">
        <v>88</v>
      </c>
      <c r="C74" s="70"/>
      <c r="D74" s="71" t="s">
        <v>89</v>
      </c>
      <c r="E74" s="72"/>
      <c r="F74" s="23" t="s">
        <v>90</v>
      </c>
      <c r="J74" s="33" t="s">
        <v>91</v>
      </c>
      <c r="K74" s="34"/>
      <c r="L74" s="34"/>
      <c r="M74" s="32"/>
      <c r="N74" s="32"/>
      <c r="O74" s="32"/>
      <c r="P74" s="32"/>
      <c r="Q74" s="32"/>
    </row>
    <row r="75" spans="1:19" ht="15.75" customHeight="1" x14ac:dyDescent="0.25">
      <c r="A75" s="52">
        <v>45575</v>
      </c>
      <c r="B75" s="54">
        <v>18568</v>
      </c>
      <c r="C75" s="53">
        <v>86</v>
      </c>
      <c r="D75" s="36" t="s">
        <v>92</v>
      </c>
      <c r="E75" s="37">
        <v>0</v>
      </c>
      <c r="H75" s="52">
        <v>45799</v>
      </c>
      <c r="I75" s="54">
        <v>8394</v>
      </c>
      <c r="J75" s="53">
        <v>354.62</v>
      </c>
      <c r="L75" s="8"/>
      <c r="S75" s="14"/>
    </row>
    <row r="76" spans="1:19" ht="15.75" customHeight="1" x14ac:dyDescent="0.25">
      <c r="A76" s="52">
        <v>45575</v>
      </c>
      <c r="B76" s="54">
        <v>18573</v>
      </c>
      <c r="C76" s="53">
        <v>143.28</v>
      </c>
      <c r="D76" s="38" t="s">
        <v>93</v>
      </c>
      <c r="E76" s="39">
        <v>0</v>
      </c>
      <c r="F76" s="22"/>
      <c r="H76" s="52">
        <v>45805</v>
      </c>
      <c r="I76" s="54">
        <v>8409</v>
      </c>
      <c r="J76" s="53">
        <v>227.13</v>
      </c>
      <c r="L76" s="8"/>
      <c r="S76" s="14"/>
    </row>
    <row r="77" spans="1:19" ht="15.75" customHeight="1" x14ac:dyDescent="0.25">
      <c r="A77" s="52">
        <v>45672</v>
      </c>
      <c r="B77" s="54">
        <v>18735</v>
      </c>
      <c r="C77" s="53">
        <v>43</v>
      </c>
      <c r="D77" s="38" t="s">
        <v>94</v>
      </c>
      <c r="E77" s="39">
        <v>0</v>
      </c>
      <c r="F77" s="22"/>
      <c r="H77" s="52">
        <v>45805</v>
      </c>
      <c r="I77" s="54">
        <v>8410</v>
      </c>
      <c r="J77" s="53">
        <v>248</v>
      </c>
      <c r="K77" s="8"/>
      <c r="L77" s="8"/>
      <c r="S77" s="14"/>
    </row>
    <row r="78" spans="1:19" ht="15.75" customHeight="1" x14ac:dyDescent="0.25">
      <c r="A78" s="52">
        <v>45672</v>
      </c>
      <c r="B78" s="54">
        <v>18767</v>
      </c>
      <c r="C78" s="53">
        <v>6170</v>
      </c>
      <c r="D78" s="38" t="s">
        <v>95</v>
      </c>
      <c r="E78" s="39">
        <v>0</v>
      </c>
      <c r="F78" s="22"/>
      <c r="H78" s="52">
        <v>45807</v>
      </c>
      <c r="I78" s="54" t="s">
        <v>71</v>
      </c>
      <c r="J78" s="53">
        <v>940.27</v>
      </c>
      <c r="K78" s="8"/>
      <c r="L78" s="8"/>
      <c r="S78" s="14"/>
    </row>
    <row r="79" spans="1:19" ht="15.75" customHeight="1" x14ac:dyDescent="0.25">
      <c r="A79" s="52">
        <v>45700</v>
      </c>
      <c r="B79" s="54">
        <v>18797</v>
      </c>
      <c r="C79" s="53">
        <v>3033.23</v>
      </c>
      <c r="D79" s="38" t="s">
        <v>96</v>
      </c>
      <c r="E79" s="39">
        <v>0</v>
      </c>
      <c r="H79" s="52"/>
      <c r="J79" s="53"/>
      <c r="K79" s="8"/>
      <c r="L79" s="8"/>
      <c r="S79" s="14"/>
    </row>
    <row r="80" spans="1:19" ht="15.75" customHeight="1" x14ac:dyDescent="0.25">
      <c r="A80" s="52">
        <v>45700</v>
      </c>
      <c r="B80" s="54">
        <v>18812</v>
      </c>
      <c r="C80" s="53">
        <v>220</v>
      </c>
      <c r="D80" s="38" t="s">
        <v>97</v>
      </c>
      <c r="E80" s="39">
        <v>0</v>
      </c>
      <c r="F80" s="73" t="s">
        <v>98</v>
      </c>
      <c r="G80" s="72"/>
      <c r="H80" s="35"/>
      <c r="J80" s="53"/>
      <c r="K80" s="8"/>
      <c r="L80" s="8"/>
      <c r="S80" s="14"/>
    </row>
    <row r="81" spans="1:19" ht="15.75" customHeight="1" x14ac:dyDescent="0.25">
      <c r="A81" s="52">
        <v>45728</v>
      </c>
      <c r="B81" s="54">
        <v>18859</v>
      </c>
      <c r="C81" s="53">
        <v>61.04</v>
      </c>
      <c r="D81" s="40"/>
      <c r="E81" s="41">
        <f>E75+E76+E77+E78+E79+E80</f>
        <v>0</v>
      </c>
      <c r="F81" s="42"/>
      <c r="G81" s="43"/>
      <c r="H81" s="35"/>
      <c r="J81" s="53"/>
      <c r="K81" s="8"/>
      <c r="L81" s="8"/>
      <c r="S81" s="14"/>
    </row>
    <row r="82" spans="1:19" ht="15.75" customHeight="1" x14ac:dyDescent="0.25">
      <c r="A82" s="52">
        <v>45728</v>
      </c>
      <c r="B82" s="54">
        <v>18866</v>
      </c>
      <c r="C82" s="53">
        <v>2500</v>
      </c>
      <c r="D82" s="44" t="s">
        <v>99</v>
      </c>
      <c r="F82" s="23" t="s">
        <v>100</v>
      </c>
      <c r="G82" s="27"/>
      <c r="H82" s="35"/>
      <c r="J82" s="53"/>
      <c r="K82" s="8"/>
      <c r="L82" s="8"/>
      <c r="S82" s="14"/>
    </row>
    <row r="83" spans="1:19" ht="15.75" customHeight="1" x14ac:dyDescent="0.25">
      <c r="A83" s="52">
        <v>45757</v>
      </c>
      <c r="B83" s="54">
        <v>18886</v>
      </c>
      <c r="C83" s="53">
        <v>96.2</v>
      </c>
      <c r="D83" s="45"/>
      <c r="F83" s="23" t="s">
        <v>101</v>
      </c>
      <c r="G83" s="27"/>
      <c r="H83" s="27"/>
      <c r="I83" s="27"/>
      <c r="J83" s="10"/>
      <c r="K83" s="8"/>
      <c r="L83" s="8"/>
      <c r="S83" s="14"/>
    </row>
    <row r="84" spans="1:19" ht="15.75" customHeight="1" x14ac:dyDescent="0.25">
      <c r="A84" s="52">
        <v>45791</v>
      </c>
      <c r="B84" s="54">
        <v>18921</v>
      </c>
      <c r="C84" s="53">
        <v>129</v>
      </c>
      <c r="D84" s="14"/>
      <c r="F84" s="23" t="s">
        <v>102</v>
      </c>
      <c r="G84" s="27"/>
      <c r="H84" s="27"/>
      <c r="I84" s="27"/>
      <c r="J84" s="10"/>
      <c r="K84" s="8"/>
      <c r="L84" s="8"/>
      <c r="S84" s="14"/>
    </row>
    <row r="85" spans="1:19" ht="15.75" customHeight="1" x14ac:dyDescent="0.25">
      <c r="A85" s="52">
        <v>45791</v>
      </c>
      <c r="B85" s="54">
        <v>18931</v>
      </c>
      <c r="C85" s="53">
        <v>172</v>
      </c>
      <c r="D85" s="46">
        <f>SUM(D83:D84)</f>
        <v>0</v>
      </c>
      <c r="F85" s="23" t="s">
        <v>103</v>
      </c>
      <c r="G85" s="27"/>
      <c r="H85" s="27"/>
      <c r="I85" s="27"/>
      <c r="J85" s="10"/>
      <c r="K85" s="8"/>
      <c r="L85" s="8"/>
      <c r="S85" s="14"/>
    </row>
    <row r="86" spans="1:19" ht="15.75" customHeight="1" x14ac:dyDescent="0.25">
      <c r="A86" s="52">
        <v>45791</v>
      </c>
      <c r="B86" s="54">
        <v>18938</v>
      </c>
      <c r="C86" s="53">
        <v>1600</v>
      </c>
      <c r="F86" s="23" t="s">
        <v>104</v>
      </c>
      <c r="G86" s="27"/>
      <c r="H86" s="27"/>
      <c r="I86" s="27"/>
      <c r="J86" s="47">
        <f>SUM(J75:J85)</f>
        <v>1770.02</v>
      </c>
      <c r="K86" s="8"/>
      <c r="L86" s="8"/>
      <c r="S86" s="14"/>
    </row>
    <row r="87" spans="1:19" ht="15.75" customHeight="1" x14ac:dyDescent="0.25">
      <c r="A87" s="52">
        <v>45791</v>
      </c>
      <c r="B87" s="54">
        <v>18944</v>
      </c>
      <c r="C87" s="53">
        <v>128</v>
      </c>
      <c r="F87" s="23" t="s">
        <v>105</v>
      </c>
      <c r="G87" s="27"/>
      <c r="H87" s="27"/>
      <c r="I87" s="27"/>
      <c r="J87" s="14"/>
      <c r="K87" s="8"/>
      <c r="L87" s="8"/>
      <c r="S87" s="14"/>
    </row>
    <row r="88" spans="1:19" ht="15.75" customHeight="1" x14ac:dyDescent="0.25">
      <c r="A88" s="52">
        <v>45791</v>
      </c>
      <c r="B88" s="54">
        <v>18946</v>
      </c>
      <c r="C88" s="53">
        <v>129</v>
      </c>
      <c r="D88" s="33" t="s">
        <v>106</v>
      </c>
      <c r="E88" s="32"/>
      <c r="F88" s="23" t="s">
        <v>107</v>
      </c>
      <c r="G88" s="27"/>
      <c r="H88" s="27"/>
      <c r="I88" s="27"/>
      <c r="J88" s="33" t="s">
        <v>108</v>
      </c>
      <c r="K88" s="8"/>
      <c r="L88" s="8"/>
      <c r="S88" s="14"/>
    </row>
    <row r="89" spans="1:19" ht="15.75" customHeight="1" x14ac:dyDescent="0.25">
      <c r="A89" s="52">
        <v>45791</v>
      </c>
      <c r="B89" s="23">
        <v>18948</v>
      </c>
      <c r="C89" s="56">
        <v>108</v>
      </c>
      <c r="D89" s="45"/>
      <c r="E89" s="32"/>
      <c r="F89" s="14"/>
      <c r="J89" s="48"/>
      <c r="K89" s="8"/>
      <c r="L89" s="8"/>
      <c r="S89" s="14"/>
    </row>
    <row r="90" spans="1:19" ht="15" customHeight="1" x14ac:dyDescent="0.25">
      <c r="A90" s="52">
        <v>45791</v>
      </c>
      <c r="B90" s="23">
        <v>18960</v>
      </c>
      <c r="C90" s="56">
        <v>81.5</v>
      </c>
      <c r="D90" s="14"/>
      <c r="E90" s="32"/>
      <c r="F90" s="14"/>
      <c r="G90" s="14"/>
      <c r="H90" s="14"/>
      <c r="I90" s="14"/>
      <c r="J90" s="48"/>
      <c r="K90" s="8"/>
      <c r="L90" s="8"/>
      <c r="S90" s="14"/>
    </row>
    <row r="91" spans="1:19" ht="15" customHeight="1" x14ac:dyDescent="0.25">
      <c r="A91" s="52">
        <v>45791</v>
      </c>
      <c r="B91" s="23">
        <v>18964</v>
      </c>
      <c r="C91" s="56">
        <v>99.04</v>
      </c>
      <c r="D91" s="14"/>
      <c r="E91" s="32"/>
      <c r="F91" s="14"/>
      <c r="G91" s="14"/>
      <c r="H91" s="14"/>
      <c r="I91" s="14"/>
      <c r="J91" s="48"/>
      <c r="K91" s="8"/>
      <c r="L91" s="8"/>
      <c r="S91" s="14"/>
    </row>
    <row r="92" spans="1:19" ht="15" customHeight="1" x14ac:dyDescent="0.25">
      <c r="A92" s="35">
        <v>45805</v>
      </c>
      <c r="B92" s="23">
        <v>18975</v>
      </c>
      <c r="C92" s="56">
        <v>1050.03</v>
      </c>
      <c r="D92" s="14"/>
      <c r="E92" s="32"/>
      <c r="F92" s="14"/>
      <c r="G92" s="14"/>
      <c r="H92" s="49"/>
      <c r="I92" s="8"/>
      <c r="J92" s="50">
        <f>SUM(J89:J91)</f>
        <v>0</v>
      </c>
      <c r="Q92" s="14"/>
    </row>
    <row r="93" spans="1:19" ht="15" customHeight="1" x14ac:dyDescent="0.25">
      <c r="A93" s="35">
        <v>45805</v>
      </c>
      <c r="B93" s="23">
        <v>18976</v>
      </c>
      <c r="C93" s="56">
        <v>10047.290000000001</v>
      </c>
      <c r="D93" s="14"/>
      <c r="E93" s="32"/>
      <c r="F93" s="14"/>
      <c r="G93" s="14"/>
      <c r="H93" s="49"/>
      <c r="I93" s="8"/>
      <c r="J93" s="8"/>
      <c r="Q93" s="14"/>
    </row>
    <row r="94" spans="1:19" ht="15" customHeight="1" x14ac:dyDescent="0.25">
      <c r="A94" s="35">
        <v>45805</v>
      </c>
      <c r="B94" s="23">
        <v>18977</v>
      </c>
      <c r="C94" s="56">
        <v>47.64</v>
      </c>
      <c r="D94" s="14"/>
      <c r="E94" s="32"/>
      <c r="F94" s="14"/>
      <c r="G94" s="14"/>
      <c r="H94" s="49"/>
      <c r="I94" s="8"/>
      <c r="J94" s="8"/>
      <c r="Q94" s="14"/>
    </row>
    <row r="95" spans="1:19" ht="15" customHeight="1" x14ac:dyDescent="0.25">
      <c r="A95" s="35">
        <v>45805</v>
      </c>
      <c r="B95" s="23">
        <v>18978</v>
      </c>
      <c r="C95" s="56">
        <v>39513.360000000001</v>
      </c>
      <c r="D95" s="14"/>
      <c r="E95" s="32"/>
      <c r="F95" s="14"/>
      <c r="G95" s="14"/>
      <c r="H95" s="49"/>
      <c r="I95" s="8"/>
      <c r="J95" s="8"/>
      <c r="Q95" s="14"/>
    </row>
    <row r="96" spans="1:19" ht="15" customHeight="1" x14ac:dyDescent="0.25">
      <c r="A96" s="35"/>
      <c r="B96" s="23"/>
      <c r="C96" s="14"/>
      <c r="D96" s="14"/>
      <c r="E96" s="32"/>
      <c r="F96" s="14"/>
      <c r="G96" s="14"/>
      <c r="H96" s="49"/>
      <c r="I96" s="8"/>
      <c r="J96" s="8"/>
      <c r="Q96" s="14"/>
    </row>
    <row r="97" spans="1:17" ht="15" customHeight="1" x14ac:dyDescent="0.25">
      <c r="A97" s="35"/>
      <c r="B97" s="23"/>
      <c r="C97" s="14"/>
      <c r="D97" s="14"/>
      <c r="E97" s="32"/>
      <c r="F97" s="14"/>
      <c r="G97" s="14"/>
      <c r="H97" s="49"/>
      <c r="I97" s="8"/>
      <c r="J97" s="8"/>
      <c r="Q97" s="14"/>
    </row>
    <row r="98" spans="1:17" ht="15" customHeight="1" x14ac:dyDescent="0.25">
      <c r="A98" s="35"/>
      <c r="B98" s="23"/>
      <c r="C98" s="14"/>
      <c r="D98" s="14"/>
      <c r="E98" s="32"/>
      <c r="F98" s="14"/>
      <c r="G98" s="14"/>
      <c r="H98" s="49"/>
      <c r="I98" s="8"/>
      <c r="J98" s="8"/>
      <c r="Q98" s="14"/>
    </row>
    <row r="99" spans="1:17" ht="15" customHeight="1" x14ac:dyDescent="0.25">
      <c r="A99" s="35"/>
      <c r="B99" s="23"/>
      <c r="C99" s="14"/>
      <c r="D99" s="14"/>
      <c r="E99" s="32"/>
      <c r="F99" s="14"/>
      <c r="G99" s="14"/>
      <c r="H99" s="49"/>
      <c r="I99" s="8"/>
      <c r="J99" s="8"/>
      <c r="Q99" s="14"/>
    </row>
    <row r="100" spans="1:17" ht="15" customHeight="1" x14ac:dyDescent="0.25">
      <c r="A100" s="35"/>
      <c r="B100" s="23"/>
      <c r="C100" s="14"/>
      <c r="D100" s="14"/>
      <c r="E100" s="32"/>
      <c r="F100" s="14"/>
      <c r="G100" s="14"/>
      <c r="H100" s="49"/>
      <c r="I100" s="8"/>
      <c r="J100" s="8"/>
      <c r="Q100" s="14"/>
    </row>
    <row r="101" spans="1:17" ht="15" customHeight="1" x14ac:dyDescent="0.25">
      <c r="A101" s="35"/>
      <c r="B101" s="23"/>
      <c r="C101" s="14"/>
      <c r="D101" s="14"/>
      <c r="E101" s="32"/>
      <c r="F101" s="14"/>
      <c r="G101" s="14"/>
      <c r="H101" s="49"/>
      <c r="I101" s="8"/>
      <c r="J101" s="8"/>
      <c r="Q101" s="14"/>
    </row>
    <row r="102" spans="1:17" ht="15" customHeight="1" x14ac:dyDescent="0.25">
      <c r="A102" s="35"/>
      <c r="B102" s="23"/>
      <c r="C102" s="14"/>
      <c r="D102" s="14"/>
      <c r="E102" s="32"/>
      <c r="F102" s="14"/>
      <c r="G102" s="14"/>
      <c r="H102" s="49"/>
      <c r="I102" s="8"/>
      <c r="J102" s="8"/>
      <c r="Q102" s="14"/>
    </row>
    <row r="103" spans="1:17" ht="15.75" customHeight="1" x14ac:dyDescent="0.25">
      <c r="C103" s="46">
        <f>SUM(C75:C102)</f>
        <v>65457.61</v>
      </c>
      <c r="D103" s="14"/>
      <c r="E103" s="32"/>
      <c r="F103" s="14"/>
      <c r="G103" s="14"/>
      <c r="H103" s="49"/>
      <c r="I103" s="8"/>
      <c r="J103" s="8"/>
      <c r="Q103" s="14"/>
    </row>
    <row r="104" spans="1:17" ht="15.75" customHeight="1" x14ac:dyDescent="0.25">
      <c r="C104" s="14"/>
      <c r="D104" s="32"/>
      <c r="E104" s="14"/>
      <c r="F104" s="14"/>
      <c r="G104" s="49"/>
      <c r="H104" s="8"/>
      <c r="I104" s="8"/>
      <c r="P104" s="14"/>
    </row>
    <row r="105" spans="1:17" ht="15.75" customHeight="1" x14ac:dyDescent="0.25">
      <c r="C105" s="14"/>
      <c r="D105" s="32"/>
      <c r="E105" s="14"/>
      <c r="F105" s="14"/>
      <c r="G105" s="49"/>
      <c r="H105" s="8"/>
      <c r="I105" s="8"/>
      <c r="P105" s="14"/>
    </row>
    <row r="106" spans="1:17" ht="15.75" customHeight="1" x14ac:dyDescent="0.25">
      <c r="C106" s="14"/>
      <c r="D106" s="32"/>
      <c r="E106" s="14"/>
      <c r="F106" s="14"/>
      <c r="G106" s="49"/>
      <c r="H106" s="8"/>
      <c r="I106" s="8"/>
      <c r="P106" s="14"/>
    </row>
    <row r="107" spans="1:17" ht="15.75" customHeight="1" x14ac:dyDescent="0.25">
      <c r="C107" s="14"/>
      <c r="D107" s="32"/>
      <c r="E107" s="14"/>
      <c r="F107" s="14"/>
      <c r="G107" s="49"/>
      <c r="H107" s="8"/>
      <c r="I107" s="8"/>
      <c r="P107" s="14"/>
    </row>
    <row r="108" spans="1:17" ht="15.75" customHeight="1" x14ac:dyDescent="0.25">
      <c r="C108" s="14"/>
      <c r="D108" s="32"/>
      <c r="E108" s="14"/>
      <c r="F108" s="14"/>
      <c r="G108" s="49"/>
      <c r="H108" s="8"/>
      <c r="I108" s="8"/>
      <c r="P108" s="14"/>
    </row>
    <row r="109" spans="1:17" ht="15.75" customHeight="1" x14ac:dyDescent="0.25">
      <c r="C109" s="14"/>
      <c r="D109" s="32"/>
      <c r="E109" s="14"/>
      <c r="F109" s="14"/>
      <c r="G109" s="49"/>
      <c r="H109" s="8"/>
      <c r="I109" s="8"/>
      <c r="P109" s="14"/>
    </row>
    <row r="110" spans="1:17" ht="15.75" customHeight="1" x14ac:dyDescent="0.25">
      <c r="C110" s="14"/>
      <c r="D110" s="32"/>
      <c r="E110" s="14"/>
      <c r="F110" s="14"/>
      <c r="G110" s="49"/>
      <c r="H110" s="8"/>
      <c r="I110" s="8"/>
      <c r="P110" s="14"/>
    </row>
    <row r="111" spans="1:17" ht="15.75" customHeight="1" x14ac:dyDescent="0.25">
      <c r="C111" s="14"/>
      <c r="D111" s="32"/>
      <c r="E111" s="14"/>
      <c r="F111" s="14"/>
      <c r="G111" s="49"/>
      <c r="H111" s="8"/>
      <c r="I111" s="8"/>
      <c r="P111" s="14"/>
    </row>
    <row r="112" spans="1:17" ht="15.75" customHeight="1" x14ac:dyDescent="0.25">
      <c r="B112" s="22"/>
      <c r="C112" s="14"/>
      <c r="D112" s="32"/>
      <c r="E112" s="14"/>
      <c r="F112" s="14"/>
      <c r="G112" s="49"/>
      <c r="H112" s="8"/>
      <c r="I112" s="8"/>
      <c r="P112" s="14"/>
    </row>
    <row r="113" spans="2:16" ht="15.75" customHeight="1" x14ac:dyDescent="0.25">
      <c r="C113" s="14"/>
      <c r="D113" s="32"/>
      <c r="E113" s="14"/>
      <c r="F113" s="14"/>
      <c r="G113" s="49"/>
      <c r="H113" s="8"/>
      <c r="I113" s="8"/>
      <c r="P113" s="14"/>
    </row>
    <row r="114" spans="2:16" ht="15.75" customHeight="1" x14ac:dyDescent="0.25">
      <c r="C114" s="14"/>
      <c r="D114" s="32"/>
      <c r="E114" s="14"/>
      <c r="F114" s="14"/>
      <c r="G114" s="49"/>
      <c r="H114" s="8"/>
      <c r="I114" s="8"/>
      <c r="P114" s="14"/>
    </row>
    <row r="115" spans="2:16" ht="15.75" customHeight="1" x14ac:dyDescent="0.25">
      <c r="C115" s="14"/>
      <c r="D115" s="32"/>
      <c r="E115" s="14"/>
      <c r="F115" s="14"/>
      <c r="G115" s="49"/>
      <c r="H115" s="8"/>
      <c r="I115" s="8"/>
      <c r="P115" s="14"/>
    </row>
    <row r="116" spans="2:16" ht="15.75" customHeight="1" x14ac:dyDescent="0.25">
      <c r="B116" s="14"/>
      <c r="C116" s="14"/>
      <c r="D116" s="32"/>
      <c r="E116" s="14"/>
      <c r="F116" s="14"/>
      <c r="G116" s="49"/>
      <c r="H116" s="8"/>
      <c r="I116" s="8"/>
      <c r="P116" s="14"/>
    </row>
    <row r="117" spans="2:16" ht="15.75" customHeight="1" x14ac:dyDescent="0.25">
      <c r="B117" s="14"/>
      <c r="C117" s="14"/>
      <c r="D117" s="32"/>
      <c r="E117" s="14"/>
      <c r="F117" s="14"/>
      <c r="G117" s="49"/>
      <c r="H117" s="8"/>
      <c r="I117" s="8"/>
      <c r="P117" s="14"/>
    </row>
    <row r="118" spans="2:16" ht="15.75" customHeight="1" x14ac:dyDescent="0.25">
      <c r="B118" s="14"/>
      <c r="C118" s="14"/>
      <c r="D118" s="32"/>
      <c r="E118" s="14"/>
      <c r="F118" s="14"/>
      <c r="G118" s="49"/>
      <c r="H118" s="8"/>
      <c r="I118" s="8"/>
      <c r="P118" s="14"/>
    </row>
    <row r="119" spans="2:16" ht="15.75" customHeight="1" x14ac:dyDescent="0.25">
      <c r="B119" s="14"/>
      <c r="C119" s="22"/>
      <c r="H119" s="8"/>
      <c r="I119" s="8"/>
    </row>
    <row r="120" spans="2:16" ht="15.75" customHeight="1" x14ac:dyDescent="0.25">
      <c r="B120" s="14"/>
      <c r="E120" s="14"/>
    </row>
    <row r="121" spans="2:16" ht="15.75" customHeight="1" x14ac:dyDescent="0.25">
      <c r="B121" s="14"/>
    </row>
    <row r="122" spans="2:16" ht="15.75" customHeight="1" x14ac:dyDescent="0.25">
      <c r="B122" s="14"/>
      <c r="E122" s="14"/>
    </row>
    <row r="123" spans="2:16" ht="15.75" customHeight="1" x14ac:dyDescent="0.25">
      <c r="B123" s="14"/>
    </row>
    <row r="124" spans="2:16" ht="15.75" customHeight="1" x14ac:dyDescent="0.25">
      <c r="B124" s="14"/>
    </row>
    <row r="125" spans="2:16" ht="15.75" customHeight="1" x14ac:dyDescent="0.25">
      <c r="B125" s="14"/>
      <c r="C125" s="22"/>
    </row>
    <row r="126" spans="2:16" ht="15.75" customHeight="1" x14ac:dyDescent="0.25">
      <c r="B126" s="14"/>
    </row>
    <row r="127" spans="2:16" ht="15.75" customHeight="1" x14ac:dyDescent="0.25">
      <c r="B127" s="14"/>
    </row>
    <row r="128" spans="2:16" ht="15.75" customHeight="1" x14ac:dyDescent="0.25">
      <c r="B128" s="14"/>
    </row>
    <row r="129" spans="1:2" ht="15.75" customHeight="1" x14ac:dyDescent="0.25">
      <c r="B129" s="14"/>
    </row>
    <row r="130" spans="1:2" ht="15.75" customHeight="1" x14ac:dyDescent="0.25">
      <c r="A130" s="22"/>
      <c r="B130" s="14"/>
    </row>
    <row r="131" spans="1:2" ht="15.75" customHeight="1" x14ac:dyDescent="0.25">
      <c r="A131" s="22"/>
      <c r="B131" s="14"/>
    </row>
    <row r="132" spans="1:2" ht="15.75" customHeight="1" x14ac:dyDescent="0.25">
      <c r="A132" s="51"/>
      <c r="B132" s="14"/>
    </row>
    <row r="133" spans="1:2" ht="15.75" customHeight="1" x14ac:dyDescent="0.25">
      <c r="A133" s="51"/>
      <c r="B133" s="14"/>
    </row>
    <row r="134" spans="1:2" ht="15.75" customHeight="1" x14ac:dyDescent="0.25">
      <c r="A134" s="51"/>
      <c r="B134" s="14"/>
    </row>
    <row r="135" spans="1:2" ht="15.75" customHeight="1" x14ac:dyDescent="0.25">
      <c r="A135" s="51"/>
      <c r="B135" s="14"/>
    </row>
    <row r="136" spans="1:2" ht="15.75" customHeight="1" x14ac:dyDescent="0.25">
      <c r="A136" s="51"/>
      <c r="B136" s="14"/>
    </row>
    <row r="137" spans="1:2" ht="15.75" customHeight="1" x14ac:dyDescent="0.25">
      <c r="A137" s="51"/>
      <c r="B137" s="14"/>
    </row>
    <row r="138" spans="1:2" ht="15.75" customHeight="1" x14ac:dyDescent="0.25">
      <c r="A138" s="51"/>
      <c r="B138" s="14"/>
    </row>
    <row r="139" spans="1:2" ht="15.75" customHeight="1" x14ac:dyDescent="0.25">
      <c r="A139" s="51"/>
      <c r="B139" s="14"/>
    </row>
    <row r="140" spans="1:2" ht="15.75" customHeight="1" x14ac:dyDescent="0.25">
      <c r="A140" s="51"/>
      <c r="B140" s="14"/>
    </row>
    <row r="141" spans="1:2" ht="15.75" customHeight="1" x14ac:dyDescent="0.25">
      <c r="A141" s="51"/>
      <c r="B141" s="14"/>
    </row>
    <row r="142" spans="1:2" ht="15.75" customHeight="1" x14ac:dyDescent="0.25">
      <c r="A142" s="51"/>
      <c r="B142" s="14"/>
    </row>
    <row r="143" spans="1:2" ht="15.75" customHeight="1" x14ac:dyDescent="0.25">
      <c r="A143" s="51"/>
      <c r="B143" s="14"/>
    </row>
    <row r="144" spans="1:2" ht="15.75" customHeight="1" x14ac:dyDescent="0.25">
      <c r="A144" s="51"/>
    </row>
    <row r="145" spans="1:2" ht="15.75" customHeight="1" x14ac:dyDescent="0.25">
      <c r="A145" s="51"/>
      <c r="B145" s="14"/>
    </row>
    <row r="146" spans="1:2" ht="15.75" customHeight="1" x14ac:dyDescent="0.25">
      <c r="A146" s="51"/>
    </row>
    <row r="147" spans="1:2" ht="15.75" customHeight="1" x14ac:dyDescent="0.25">
      <c r="A147" s="51"/>
    </row>
    <row r="148" spans="1:2" ht="15.75" customHeight="1" x14ac:dyDescent="0.25"/>
    <row r="149" spans="1:2" ht="15.75" customHeight="1" x14ac:dyDescent="0.25"/>
    <row r="150" spans="1:2" ht="15.75" customHeight="1" x14ac:dyDescent="0.25"/>
    <row r="151" spans="1:2" ht="15.75" customHeight="1" x14ac:dyDescent="0.25"/>
    <row r="152" spans="1:2" ht="15.75" customHeight="1" x14ac:dyDescent="0.25"/>
    <row r="153" spans="1:2" ht="15.75" customHeight="1" x14ac:dyDescent="0.25"/>
    <row r="154" spans="1:2" ht="15.75" customHeight="1" x14ac:dyDescent="0.25"/>
    <row r="155" spans="1:2" ht="15.75" customHeight="1" x14ac:dyDescent="0.25"/>
    <row r="156" spans="1:2" ht="15.75" customHeight="1" x14ac:dyDescent="0.25"/>
    <row r="157" spans="1:2" ht="15.75" customHeight="1" x14ac:dyDescent="0.25"/>
    <row r="158" spans="1:2" ht="15.75" customHeight="1" x14ac:dyDescent="0.25"/>
    <row r="159" spans="1:2" ht="15.75" customHeight="1" x14ac:dyDescent="0.25"/>
    <row r="160" spans="1:2" ht="15.75" customHeight="1" x14ac:dyDescent="0.25"/>
    <row r="161" spans="1:1" ht="15.75" customHeight="1" x14ac:dyDescent="0.25">
      <c r="A161" s="51"/>
    </row>
    <row r="162" spans="1:1" ht="15.75" customHeight="1" x14ac:dyDescent="0.25"/>
    <row r="163" spans="1:1" ht="15.75" customHeight="1" x14ac:dyDescent="0.25"/>
    <row r="164" spans="1:1" ht="15.75" customHeight="1" x14ac:dyDescent="0.25"/>
    <row r="165" spans="1:1" ht="15.75" customHeight="1" x14ac:dyDescent="0.25"/>
    <row r="166" spans="1:1" ht="15.75" customHeight="1" x14ac:dyDescent="0.25"/>
    <row r="167" spans="1:1" ht="15.75" customHeight="1" x14ac:dyDescent="0.25"/>
    <row r="168" spans="1:1" ht="15.75" customHeight="1" x14ac:dyDescent="0.25"/>
    <row r="169" spans="1:1" ht="15.75" customHeight="1" x14ac:dyDescent="0.25"/>
    <row r="170" spans="1:1" ht="15.75" customHeight="1" x14ac:dyDescent="0.25"/>
    <row r="171" spans="1:1" ht="15.75" customHeight="1" x14ac:dyDescent="0.25"/>
    <row r="172" spans="1:1" ht="15.75" customHeight="1" x14ac:dyDescent="0.25"/>
    <row r="173" spans="1:1" ht="15.75" customHeight="1" x14ac:dyDescent="0.25"/>
    <row r="174" spans="1:1" ht="15.75" customHeight="1" x14ac:dyDescent="0.25"/>
    <row r="175" spans="1:1" ht="15.75" customHeight="1" x14ac:dyDescent="0.25"/>
    <row r="176" spans="1:1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mergeCells count="4">
    <mergeCell ref="A9:A10"/>
    <mergeCell ref="B74:C74"/>
    <mergeCell ref="D74:E74"/>
    <mergeCell ref="F80:G80"/>
  </mergeCells>
  <printOptions gridLines="1"/>
  <pageMargins left="0.7" right="0.7" top="0.75" bottom="0.75" header="0" footer="0"/>
  <pageSetup orientation="landscape"/>
  <rowBreaks count="2" manualBreakCount="2">
    <brk id="36" man="1"/>
    <brk id="7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998"/>
  <sheetViews>
    <sheetView workbookViewId="0"/>
  </sheetViews>
  <sheetFormatPr defaultColWidth="14.42578125" defaultRowHeight="15" customHeight="1" x14ac:dyDescent="0.25"/>
  <cols>
    <col min="1" max="1" width="16.7109375" customWidth="1"/>
    <col min="3" max="3" width="16" customWidth="1"/>
    <col min="4" max="4" width="16.140625" customWidth="1"/>
    <col min="5" max="5" width="16.7109375" customWidth="1"/>
    <col min="6" max="6" width="13.28515625" customWidth="1"/>
    <col min="7" max="7" width="14.5703125" customWidth="1"/>
    <col min="8" max="8" width="11" customWidth="1"/>
    <col min="9" max="14" width="14.140625" customWidth="1"/>
    <col min="15" max="15" width="12.85546875" customWidth="1"/>
    <col min="16" max="16" width="12.5703125" customWidth="1"/>
    <col min="17" max="17" width="8.7109375" customWidth="1"/>
    <col min="18" max="18" width="13.42578125" customWidth="1"/>
    <col min="19" max="31" width="8.7109375" customWidth="1"/>
  </cols>
  <sheetData>
    <row r="1" spans="1:31" x14ac:dyDescent="0.25">
      <c r="A1" s="1" t="s">
        <v>124</v>
      </c>
      <c r="B1" s="1"/>
      <c r="C1" s="1"/>
      <c r="D1" s="1"/>
      <c r="E1" s="1"/>
      <c r="F1" s="1"/>
      <c r="G1" s="1"/>
    </row>
    <row r="2" spans="1:31" x14ac:dyDescent="0.2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ht="26.25" x14ac:dyDescent="0.25">
      <c r="A3" s="6" t="s">
        <v>14</v>
      </c>
      <c r="B3" s="6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G3" s="7" t="s">
        <v>117</v>
      </c>
      <c r="H3" s="7" t="s">
        <v>21</v>
      </c>
      <c r="I3" s="7" t="s">
        <v>22</v>
      </c>
      <c r="J3" s="7" t="s">
        <v>23</v>
      </c>
      <c r="K3" s="7" t="s">
        <v>24</v>
      </c>
      <c r="L3" s="7" t="s">
        <v>25</v>
      </c>
      <c r="M3" s="7" t="s">
        <v>26</v>
      </c>
      <c r="N3" s="7" t="s">
        <v>27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x14ac:dyDescent="0.25">
      <c r="A4" s="8" t="s">
        <v>28</v>
      </c>
      <c r="B4" s="9">
        <v>42843.540000000045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>
        <v>43666.53</v>
      </c>
      <c r="N4" s="10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x14ac:dyDescent="0.25">
      <c r="A5" s="8" t="s">
        <v>78</v>
      </c>
      <c r="B5" s="9">
        <v>2501854.44</v>
      </c>
      <c r="C5" s="12">
        <v>547813.35000000009</v>
      </c>
      <c r="D5" s="12">
        <v>737468.67999999982</v>
      </c>
      <c r="E5" s="12">
        <v>704444.58</v>
      </c>
      <c r="F5" s="12">
        <v>44758.330000000009</v>
      </c>
      <c r="G5" s="10">
        <v>-5288.25</v>
      </c>
      <c r="H5" s="10">
        <v>0</v>
      </c>
      <c r="I5" s="10">
        <v>-617.19999999999709</v>
      </c>
      <c r="J5" s="10">
        <v>251766.03000000003</v>
      </c>
      <c r="K5" s="10">
        <v>54907.71</v>
      </c>
      <c r="L5" s="10">
        <v>146725.44999999998</v>
      </c>
      <c r="M5" s="10"/>
      <c r="N5" s="10">
        <v>19875.759999999998</v>
      </c>
      <c r="O5" s="13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x14ac:dyDescent="0.25">
      <c r="A6" s="8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4"/>
      <c r="AA6" s="5"/>
      <c r="AB6" s="5"/>
    </row>
    <row r="7" spans="1:31" x14ac:dyDescent="0.25">
      <c r="A7" s="1" t="s">
        <v>32</v>
      </c>
      <c r="B7" s="15">
        <f t="shared" ref="B7:N7" si="0">SUM(B4:B6)</f>
        <v>2544697.98</v>
      </c>
      <c r="C7" s="15">
        <f t="shared" si="0"/>
        <v>547813.35000000009</v>
      </c>
      <c r="D7" s="15">
        <f t="shared" si="0"/>
        <v>737468.67999999982</v>
      </c>
      <c r="E7" s="15">
        <f t="shared" si="0"/>
        <v>704444.58</v>
      </c>
      <c r="F7" s="15">
        <f t="shared" si="0"/>
        <v>44758.330000000009</v>
      </c>
      <c r="G7" s="15">
        <f t="shared" si="0"/>
        <v>-5288.25</v>
      </c>
      <c r="H7" s="15">
        <f t="shared" si="0"/>
        <v>0</v>
      </c>
      <c r="I7" s="15">
        <f t="shared" si="0"/>
        <v>-617.19999999999709</v>
      </c>
      <c r="J7" s="15">
        <f t="shared" si="0"/>
        <v>251766.03000000003</v>
      </c>
      <c r="K7" s="15">
        <f t="shared" si="0"/>
        <v>54907.71</v>
      </c>
      <c r="L7" s="15">
        <f t="shared" si="0"/>
        <v>146725.44999999998</v>
      </c>
      <c r="M7" s="15">
        <f t="shared" si="0"/>
        <v>43666.53</v>
      </c>
      <c r="N7" s="15">
        <f t="shared" si="0"/>
        <v>19875.759999999998</v>
      </c>
      <c r="AA7" s="5"/>
      <c r="AB7" s="5"/>
    </row>
    <row r="8" spans="1:31" x14ac:dyDescent="0.25">
      <c r="A8" s="1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4"/>
      <c r="AA8" s="5"/>
      <c r="AB8" s="5"/>
    </row>
    <row r="9" spans="1:31" x14ac:dyDescent="0.25">
      <c r="A9" s="67" t="s">
        <v>33</v>
      </c>
      <c r="B9" s="16"/>
      <c r="C9" s="17" t="s">
        <v>3</v>
      </c>
      <c r="D9" s="17" t="s">
        <v>4</v>
      </c>
      <c r="E9" s="17" t="s">
        <v>5</v>
      </c>
      <c r="F9" s="17" t="s">
        <v>6</v>
      </c>
      <c r="G9" s="17" t="s">
        <v>118</v>
      </c>
      <c r="H9" s="17" t="s">
        <v>35</v>
      </c>
      <c r="I9" s="17" t="s">
        <v>8</v>
      </c>
      <c r="J9" s="17" t="s">
        <v>36</v>
      </c>
      <c r="K9" s="17" t="s">
        <v>37</v>
      </c>
      <c r="L9" s="17" t="s">
        <v>38</v>
      </c>
      <c r="M9" s="17" t="s">
        <v>12</v>
      </c>
      <c r="N9" s="17" t="s">
        <v>13</v>
      </c>
      <c r="AA9" s="5"/>
      <c r="AB9" s="5"/>
    </row>
    <row r="10" spans="1:31" x14ac:dyDescent="0.25">
      <c r="A10" s="68"/>
      <c r="B10" s="16">
        <f>SUM(C10:N10)</f>
        <v>2545520.9699999997</v>
      </c>
      <c r="C10" s="18">
        <f t="shared" ref="C10:N10" si="1">C7</f>
        <v>547813.35000000009</v>
      </c>
      <c r="D10" s="18">
        <f t="shared" si="1"/>
        <v>737468.67999999982</v>
      </c>
      <c r="E10" s="18">
        <f t="shared" si="1"/>
        <v>704444.58</v>
      </c>
      <c r="F10" s="18">
        <f t="shared" si="1"/>
        <v>44758.330000000009</v>
      </c>
      <c r="G10" s="18">
        <f t="shared" si="1"/>
        <v>-5288.25</v>
      </c>
      <c r="H10" s="18">
        <f t="shared" si="1"/>
        <v>0</v>
      </c>
      <c r="I10" s="18">
        <f t="shared" si="1"/>
        <v>-617.19999999999709</v>
      </c>
      <c r="J10" s="18">
        <f t="shared" si="1"/>
        <v>251766.03000000003</v>
      </c>
      <c r="K10" s="18">
        <f t="shared" si="1"/>
        <v>54907.71</v>
      </c>
      <c r="L10" s="18">
        <f t="shared" si="1"/>
        <v>146725.44999999998</v>
      </c>
      <c r="M10" s="18">
        <f t="shared" si="1"/>
        <v>43666.53</v>
      </c>
      <c r="N10" s="18">
        <f t="shared" si="1"/>
        <v>19875.759999999998</v>
      </c>
      <c r="O10" s="14"/>
      <c r="AA10" s="5"/>
      <c r="AB10" s="5"/>
    </row>
    <row r="11" spans="1:31" x14ac:dyDescent="0.25">
      <c r="A11" s="19" t="s">
        <v>39</v>
      </c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AA11" s="5"/>
      <c r="AB11" s="5"/>
    </row>
    <row r="12" spans="1:31" x14ac:dyDescent="0.25">
      <c r="A12" s="21" t="s">
        <v>125</v>
      </c>
      <c r="B12" s="10"/>
      <c r="C12" s="10">
        <v>9554.84</v>
      </c>
      <c r="D12" s="10">
        <v>7011.93</v>
      </c>
      <c r="E12" s="10">
        <v>17103.560000000001</v>
      </c>
      <c r="F12" s="10"/>
      <c r="G12" s="10"/>
      <c r="H12" s="10"/>
      <c r="I12" s="10"/>
      <c r="J12" s="10"/>
      <c r="K12" s="10"/>
      <c r="L12" s="10"/>
      <c r="M12" s="10">
        <v>253.36</v>
      </c>
      <c r="N12" s="10"/>
      <c r="O12" s="14"/>
      <c r="AA12" s="5"/>
      <c r="AB12" s="5"/>
    </row>
    <row r="13" spans="1:31" x14ac:dyDescent="0.25">
      <c r="A13" s="20" t="s">
        <v>41</v>
      </c>
      <c r="B13" s="10"/>
      <c r="C13" s="10"/>
      <c r="D13" s="10"/>
      <c r="E13" s="10"/>
      <c r="F13" s="10"/>
      <c r="AA13" s="5"/>
      <c r="AB13" s="5"/>
    </row>
    <row r="14" spans="1:31" x14ac:dyDescent="0.25">
      <c r="A14" s="21" t="s">
        <v>42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4"/>
      <c r="AA14" s="5"/>
      <c r="AB14" s="5"/>
    </row>
    <row r="15" spans="1:31" x14ac:dyDescent="0.25">
      <c r="A15" s="21" t="s">
        <v>45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AA15" s="5"/>
      <c r="AB15" s="5"/>
    </row>
    <row r="16" spans="1:31" x14ac:dyDescent="0.25">
      <c r="A16" s="21" t="s">
        <v>46</v>
      </c>
      <c r="B16" s="10"/>
      <c r="C16" s="10"/>
      <c r="D16" s="10"/>
      <c r="E16" s="10"/>
      <c r="G16" s="10"/>
      <c r="H16" s="10"/>
      <c r="I16" s="10"/>
      <c r="J16" s="10"/>
      <c r="K16" s="10"/>
      <c r="L16" s="10"/>
      <c r="M16" s="10"/>
      <c r="N16" s="10"/>
      <c r="AA16" s="5"/>
      <c r="AB16" s="5"/>
    </row>
    <row r="17" spans="1:29" ht="15.75" customHeight="1" x14ac:dyDescent="0.25">
      <c r="A17" s="21" t="s">
        <v>47</v>
      </c>
      <c r="B17" s="10"/>
      <c r="C17" s="10"/>
      <c r="D17" s="10"/>
      <c r="E17" s="10"/>
      <c r="F17" s="10"/>
      <c r="H17" s="24"/>
      <c r="I17" s="24"/>
      <c r="J17" s="10"/>
      <c r="K17" s="10"/>
      <c r="L17" s="10"/>
      <c r="M17" s="10"/>
      <c r="N17" s="10"/>
      <c r="O17" s="25"/>
      <c r="P17" s="25"/>
      <c r="Q17" s="25"/>
      <c r="AA17" s="5"/>
      <c r="AB17" s="5"/>
    </row>
    <row r="18" spans="1:29" ht="15.75" customHeight="1" x14ac:dyDescent="0.25">
      <c r="A18" s="1" t="s">
        <v>48</v>
      </c>
      <c r="B18" s="26">
        <f t="shared" ref="B18:B20" si="2">SUM(C18:N18)</f>
        <v>33923.69</v>
      </c>
      <c r="C18" s="9">
        <f t="shared" ref="C18:N18" si="3">SUM(C12:C17)</f>
        <v>9554.84</v>
      </c>
      <c r="D18" s="9">
        <f t="shared" si="3"/>
        <v>7011.93</v>
      </c>
      <c r="E18" s="9">
        <f t="shared" si="3"/>
        <v>17103.560000000001</v>
      </c>
      <c r="F18" s="9">
        <f t="shared" si="3"/>
        <v>0</v>
      </c>
      <c r="G18" s="9">
        <f t="shared" si="3"/>
        <v>0</v>
      </c>
      <c r="H18" s="9">
        <f t="shared" si="3"/>
        <v>0</v>
      </c>
      <c r="I18" s="9">
        <f t="shared" si="3"/>
        <v>0</v>
      </c>
      <c r="J18" s="9">
        <f t="shared" si="3"/>
        <v>0</v>
      </c>
      <c r="K18" s="9">
        <f t="shared" si="3"/>
        <v>0</v>
      </c>
      <c r="L18" s="9">
        <f t="shared" si="3"/>
        <v>0</v>
      </c>
      <c r="M18" s="9">
        <f t="shared" si="3"/>
        <v>253.36</v>
      </c>
      <c r="N18" s="9">
        <f t="shared" si="3"/>
        <v>0</v>
      </c>
      <c r="O18" s="10"/>
      <c r="P18" s="10"/>
      <c r="Q18" s="10"/>
      <c r="AA18" s="5"/>
      <c r="AB18" s="5"/>
    </row>
    <row r="19" spans="1:29" ht="15.75" customHeight="1" x14ac:dyDescent="0.25">
      <c r="A19" s="1" t="s">
        <v>49</v>
      </c>
      <c r="B19" s="26">
        <f t="shared" si="2"/>
        <v>7031.44</v>
      </c>
      <c r="C19" s="10">
        <v>1528.41</v>
      </c>
      <c r="D19" s="10">
        <v>2070.37</v>
      </c>
      <c r="E19" s="10">
        <v>1978.33</v>
      </c>
      <c r="F19" s="10">
        <v>125.65</v>
      </c>
      <c r="G19" s="21"/>
      <c r="H19" s="21"/>
      <c r="I19" s="21"/>
      <c r="J19" s="21">
        <v>706.81</v>
      </c>
      <c r="K19" s="21">
        <v>209.95</v>
      </c>
      <c r="L19" s="21">
        <v>411.92</v>
      </c>
      <c r="M19" s="21"/>
      <c r="N19" s="21"/>
      <c r="O19" s="10"/>
      <c r="P19" s="10"/>
      <c r="Q19" s="10"/>
      <c r="AA19" s="5"/>
      <c r="AB19" s="5"/>
    </row>
    <row r="20" spans="1:29" ht="15.75" customHeight="1" x14ac:dyDescent="0.25">
      <c r="A20" s="1" t="s">
        <v>50</v>
      </c>
      <c r="B20" s="26">
        <f t="shared" si="2"/>
        <v>49691.06</v>
      </c>
      <c r="C20" s="10">
        <v>20209.29</v>
      </c>
      <c r="D20" s="10">
        <v>1556.64</v>
      </c>
      <c r="E20" s="10">
        <v>16072.42</v>
      </c>
      <c r="F20" s="10">
        <v>11852.71</v>
      </c>
      <c r="G20" s="10"/>
      <c r="H20" s="10"/>
      <c r="I20" s="10"/>
      <c r="J20" s="10"/>
      <c r="K20" s="10"/>
      <c r="L20" s="10"/>
      <c r="M20" s="10"/>
      <c r="N20" s="10"/>
      <c r="O20" s="14"/>
      <c r="P20" s="14"/>
      <c r="Q20" s="14"/>
      <c r="R20" s="14"/>
      <c r="AA20" s="5"/>
      <c r="AB20" s="5"/>
    </row>
    <row r="21" spans="1:29" ht="15.75" customHeight="1" x14ac:dyDescent="0.25">
      <c r="A21" s="1" t="s">
        <v>114</v>
      </c>
      <c r="B21" s="9">
        <f>C21+D21+E21+F21+I21</f>
        <v>19.12</v>
      </c>
      <c r="C21" s="10">
        <v>19.12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4"/>
      <c r="P21" s="14"/>
      <c r="Q21" s="14"/>
      <c r="R21" s="14"/>
      <c r="AA21" s="5"/>
      <c r="AB21" s="5"/>
    </row>
    <row r="22" spans="1:29" ht="15.75" customHeight="1" x14ac:dyDescent="0.25">
      <c r="A22" s="1" t="s">
        <v>46</v>
      </c>
      <c r="B22" s="9"/>
      <c r="C22" s="10"/>
      <c r="D22" s="10"/>
      <c r="E22" s="10"/>
      <c r="F22" s="10"/>
      <c r="G22" s="10"/>
      <c r="H22" s="10"/>
      <c r="I22" s="10"/>
      <c r="J22" s="10"/>
      <c r="K22" s="10">
        <v>14343.75</v>
      </c>
      <c r="L22" s="10">
        <f>57215.62+6221.87</f>
        <v>63437.490000000005</v>
      </c>
      <c r="M22" s="10"/>
      <c r="N22" s="10"/>
      <c r="O22" s="14"/>
      <c r="P22" s="14"/>
      <c r="Q22" s="14"/>
      <c r="R22" s="14"/>
      <c r="AA22" s="5"/>
      <c r="AB22" s="5"/>
    </row>
    <row r="23" spans="1:29" ht="15.75" customHeight="1" x14ac:dyDescent="0.25">
      <c r="A23" s="1" t="s">
        <v>52</v>
      </c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R23" s="14"/>
      <c r="AA23" s="5"/>
    </row>
    <row r="24" spans="1:29" ht="15.75" customHeight="1" x14ac:dyDescent="0.25">
      <c r="A24" s="1" t="s">
        <v>53</v>
      </c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R24" s="14"/>
      <c r="AA24" s="5"/>
    </row>
    <row r="25" spans="1:29" ht="15.75" customHeight="1" x14ac:dyDescent="0.25">
      <c r="A25" s="1" t="s">
        <v>54</v>
      </c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R25" s="14"/>
      <c r="AA25" s="5"/>
    </row>
    <row r="26" spans="1:29" ht="15.75" customHeight="1" x14ac:dyDescent="0.25">
      <c r="A26" s="1" t="s">
        <v>47</v>
      </c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R26" s="14"/>
      <c r="AC26" s="27"/>
    </row>
    <row r="27" spans="1:29" ht="15.75" customHeight="1" x14ac:dyDescent="0.25">
      <c r="A27" s="1" t="s">
        <v>55</v>
      </c>
      <c r="B27" s="26">
        <f>SUM(C27:N27)</f>
        <v>127491.42000000001</v>
      </c>
      <c r="C27" s="10">
        <f t="shared" ref="C27:N27" si="4">SUM(C20:C26)</f>
        <v>20228.41</v>
      </c>
      <c r="D27" s="10">
        <f t="shared" si="4"/>
        <v>1556.64</v>
      </c>
      <c r="E27" s="10">
        <f t="shared" si="4"/>
        <v>16072.42</v>
      </c>
      <c r="F27" s="10">
        <f t="shared" si="4"/>
        <v>11852.71</v>
      </c>
      <c r="G27" s="10">
        <f t="shared" si="4"/>
        <v>0</v>
      </c>
      <c r="H27" s="10">
        <f t="shared" si="4"/>
        <v>0</v>
      </c>
      <c r="I27" s="10">
        <f t="shared" si="4"/>
        <v>0</v>
      </c>
      <c r="J27" s="10">
        <f t="shared" si="4"/>
        <v>0</v>
      </c>
      <c r="K27" s="10">
        <f t="shared" si="4"/>
        <v>14343.75</v>
      </c>
      <c r="L27" s="10">
        <f t="shared" si="4"/>
        <v>63437.490000000005</v>
      </c>
      <c r="M27" s="10">
        <f t="shared" si="4"/>
        <v>0</v>
      </c>
      <c r="N27" s="10">
        <f t="shared" si="4"/>
        <v>0</v>
      </c>
      <c r="R27" s="14"/>
    </row>
    <row r="28" spans="1:29" ht="15.75" customHeight="1" x14ac:dyDescent="0.25">
      <c r="A28" s="1" t="s">
        <v>56</v>
      </c>
      <c r="B28" s="26">
        <f>C28+E28+D28+F28</f>
        <v>13917.54</v>
      </c>
      <c r="C28" s="10">
        <v>6356.03</v>
      </c>
      <c r="D28" s="10">
        <v>853.2</v>
      </c>
      <c r="E28" s="10">
        <v>494.14</v>
      </c>
      <c r="F28" s="10">
        <v>6214.17</v>
      </c>
      <c r="H28" s="25"/>
      <c r="I28" s="25"/>
      <c r="J28" s="25"/>
      <c r="K28" s="25"/>
      <c r="L28" s="25"/>
      <c r="M28" s="25"/>
      <c r="N28" s="25"/>
    </row>
    <row r="29" spans="1:29" ht="15.75" customHeight="1" x14ac:dyDescent="0.25">
      <c r="A29" s="1" t="s">
        <v>56</v>
      </c>
      <c r="B29" s="26">
        <f t="shared" ref="B29:B31" si="5">SUM(C29:G29)</f>
        <v>28208.39</v>
      </c>
      <c r="C29" s="10">
        <v>17436.259999999998</v>
      </c>
      <c r="D29" s="10">
        <v>1232.27</v>
      </c>
      <c r="E29" s="10">
        <v>641.20000000000005</v>
      </c>
      <c r="F29" s="10">
        <v>8898.66</v>
      </c>
    </row>
    <row r="30" spans="1:29" ht="15.75" customHeight="1" x14ac:dyDescent="0.25">
      <c r="A30" s="1" t="s">
        <v>56</v>
      </c>
      <c r="B30" s="26">
        <f t="shared" si="5"/>
        <v>1076.5</v>
      </c>
      <c r="C30" s="10"/>
      <c r="D30" s="10"/>
      <c r="E30" s="10">
        <v>76.5</v>
      </c>
      <c r="F30" s="10">
        <v>1000</v>
      </c>
    </row>
    <row r="31" spans="1:29" ht="15.75" customHeight="1" x14ac:dyDescent="0.25">
      <c r="A31" s="1" t="s">
        <v>56</v>
      </c>
      <c r="B31" s="26">
        <f t="shared" si="5"/>
        <v>0</v>
      </c>
      <c r="C31" s="10"/>
      <c r="D31" s="10"/>
      <c r="E31" s="10"/>
    </row>
    <row r="32" spans="1:29" ht="15.75" customHeight="1" x14ac:dyDescent="0.25">
      <c r="A32" s="1" t="s">
        <v>57</v>
      </c>
      <c r="B32" s="15">
        <f t="shared" ref="B32:B33" si="6">SUM(C32:N32)</f>
        <v>2415810.0699999998</v>
      </c>
      <c r="C32" s="12">
        <f t="shared" ref="C32:E32" si="7">C10+C18+C19-C29-C27-C28-C30-C31</f>
        <v>514875.90000000008</v>
      </c>
      <c r="D32" s="12">
        <f t="shared" si="7"/>
        <v>742908.86999999988</v>
      </c>
      <c r="E32" s="12">
        <f t="shared" si="7"/>
        <v>706242.21</v>
      </c>
      <c r="F32" s="12">
        <f>F10+F18+F19-F27-F28-F29-F30</f>
        <v>16918.440000000013</v>
      </c>
      <c r="G32" s="12">
        <f t="shared" ref="G32:L32" si="8">G10+G18+G19-G29-G27-G28-G30</f>
        <v>-5288.25</v>
      </c>
      <c r="H32" s="12">
        <f t="shared" si="8"/>
        <v>0</v>
      </c>
      <c r="I32" s="12">
        <f t="shared" si="8"/>
        <v>-617.19999999999709</v>
      </c>
      <c r="J32" s="12">
        <f t="shared" si="8"/>
        <v>252472.84000000003</v>
      </c>
      <c r="K32" s="12">
        <f t="shared" si="8"/>
        <v>40773.909999999996</v>
      </c>
      <c r="L32" s="12">
        <f t="shared" si="8"/>
        <v>83699.87999999999</v>
      </c>
      <c r="M32" s="12">
        <f>B55-M27</f>
        <v>43947.709999999992</v>
      </c>
      <c r="N32" s="12">
        <f>N10+N18+N19-N29-N27-N28-N30</f>
        <v>19875.759999999998</v>
      </c>
    </row>
    <row r="33" spans="1:15" ht="15.75" customHeight="1" x14ac:dyDescent="0.25">
      <c r="A33" s="1" t="s">
        <v>126</v>
      </c>
      <c r="B33" s="9">
        <f t="shared" si="6"/>
        <v>2412600.7199999997</v>
      </c>
      <c r="C33" s="12">
        <f>123123.55+9091.86+379267.6</f>
        <v>511483.01</v>
      </c>
      <c r="D33" s="12">
        <f>409562.14+184435.27+148911.46</f>
        <v>742908.87</v>
      </c>
      <c r="E33" s="12">
        <f>134809.43+28592.54+543079.3</f>
        <v>706481.27</v>
      </c>
      <c r="F33" s="12">
        <f>55599.09-38680.65</f>
        <v>16918.439999999995</v>
      </c>
      <c r="G33" s="12">
        <v>-5288.25</v>
      </c>
      <c r="H33" s="12">
        <v>0</v>
      </c>
      <c r="I33" s="12">
        <f>1336.22-1953.41</f>
        <v>-617.19000000000005</v>
      </c>
      <c r="J33" s="12">
        <f>249535.26+2937.58</f>
        <v>252472.84</v>
      </c>
      <c r="K33" s="12">
        <f>45753.28-14343.75+9364.38</f>
        <v>40773.909999999996</v>
      </c>
      <c r="L33" s="12">
        <f>3498.18-16464.49+96666.19</f>
        <v>83699.88</v>
      </c>
      <c r="M33" s="12">
        <v>43892.18</v>
      </c>
      <c r="N33" s="12">
        <v>19875.759999999998</v>
      </c>
    </row>
    <row r="34" spans="1:15" ht="15.75" customHeight="1" x14ac:dyDescent="0.25">
      <c r="A34" s="1" t="s">
        <v>59</v>
      </c>
      <c r="B34" s="9">
        <f t="shared" ref="B34:N34" si="9">B33-B32</f>
        <v>-3209.3500000000931</v>
      </c>
      <c r="C34" s="9">
        <f t="shared" si="9"/>
        <v>-3392.8900000000722</v>
      </c>
      <c r="D34" s="9">
        <f t="shared" si="9"/>
        <v>0</v>
      </c>
      <c r="E34" s="9">
        <f t="shared" si="9"/>
        <v>239.06000000005588</v>
      </c>
      <c r="F34" s="9">
        <f t="shared" si="9"/>
        <v>0</v>
      </c>
      <c r="G34" s="9">
        <f t="shared" si="9"/>
        <v>0</v>
      </c>
      <c r="H34" s="9">
        <f t="shared" si="9"/>
        <v>0</v>
      </c>
      <c r="I34" s="9">
        <f t="shared" si="9"/>
        <v>9.9999999970350473E-3</v>
      </c>
      <c r="J34" s="9">
        <f t="shared" si="9"/>
        <v>0</v>
      </c>
      <c r="K34" s="9">
        <f t="shared" si="9"/>
        <v>0</v>
      </c>
      <c r="L34" s="9">
        <f t="shared" si="9"/>
        <v>0</v>
      </c>
      <c r="M34" s="9">
        <f t="shared" si="9"/>
        <v>-55.52999999999156</v>
      </c>
      <c r="N34" s="9">
        <f t="shared" si="9"/>
        <v>0</v>
      </c>
      <c r="O34" s="12"/>
    </row>
    <row r="35" spans="1:15" ht="15.75" customHeight="1" x14ac:dyDescent="0.25">
      <c r="A35" s="28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5" ht="15.75" customHeight="1" x14ac:dyDescent="0.25">
      <c r="A36" s="29" t="s">
        <v>61</v>
      </c>
      <c r="B36" s="16">
        <f>M7</f>
        <v>43666.53</v>
      </c>
      <c r="C36" s="17" t="s">
        <v>3</v>
      </c>
      <c r="D36" s="17" t="s">
        <v>4</v>
      </c>
      <c r="E36" s="17" t="s">
        <v>5</v>
      </c>
      <c r="F36" s="17" t="s">
        <v>6</v>
      </c>
      <c r="G36" s="17" t="s">
        <v>118</v>
      </c>
      <c r="H36" s="17" t="s">
        <v>35</v>
      </c>
      <c r="I36" s="17" t="s">
        <v>8</v>
      </c>
      <c r="J36" s="17" t="s">
        <v>36</v>
      </c>
      <c r="K36" s="17" t="s">
        <v>37</v>
      </c>
      <c r="L36" s="17" t="s">
        <v>38</v>
      </c>
      <c r="M36" s="17" t="s">
        <v>12</v>
      </c>
      <c r="N36" s="17" t="s">
        <v>13</v>
      </c>
    </row>
    <row r="37" spans="1:15" ht="15.75" customHeight="1" x14ac:dyDescent="0.25">
      <c r="A37" s="19" t="s">
        <v>62</v>
      </c>
      <c r="B37" s="10">
        <f t="shared" ref="B37:B40" si="10">C37+E37+D37+F37</f>
        <v>13917.54</v>
      </c>
      <c r="C37" s="10">
        <v>6356.03</v>
      </c>
      <c r="D37" s="10">
        <v>853.2</v>
      </c>
      <c r="E37" s="10">
        <v>494.14</v>
      </c>
      <c r="F37" s="10">
        <v>6214.17</v>
      </c>
      <c r="H37" s="25"/>
      <c r="I37" s="25"/>
      <c r="J37" s="25"/>
      <c r="K37" s="25"/>
      <c r="L37" s="25"/>
      <c r="M37" s="25"/>
      <c r="N37" s="25"/>
    </row>
    <row r="38" spans="1:15" ht="15.75" customHeight="1" x14ac:dyDescent="0.25">
      <c r="A38" s="10"/>
      <c r="B38" s="10">
        <f t="shared" si="10"/>
        <v>28208.39</v>
      </c>
      <c r="C38" s="10">
        <v>17436.259999999998</v>
      </c>
      <c r="D38" s="10">
        <v>1232.27</v>
      </c>
      <c r="E38" s="10">
        <v>641.20000000000005</v>
      </c>
      <c r="F38" s="10">
        <v>8898.66</v>
      </c>
      <c r="H38" s="25"/>
      <c r="I38" s="25"/>
      <c r="J38" s="25"/>
      <c r="K38" s="25"/>
      <c r="L38" s="25"/>
      <c r="M38" s="25"/>
      <c r="N38" s="25"/>
    </row>
    <row r="39" spans="1:15" ht="15.75" customHeight="1" x14ac:dyDescent="0.25">
      <c r="A39" s="21"/>
      <c r="B39" s="10">
        <f t="shared" si="10"/>
        <v>1076.5</v>
      </c>
      <c r="C39" s="10"/>
      <c r="D39" s="10"/>
      <c r="E39" s="10">
        <v>76.5</v>
      </c>
      <c r="F39" s="10">
        <v>1000</v>
      </c>
      <c r="H39" s="25"/>
      <c r="I39" s="25"/>
      <c r="J39" s="25"/>
      <c r="K39" s="25"/>
      <c r="L39" s="25"/>
      <c r="M39" s="25"/>
      <c r="N39" s="25"/>
    </row>
    <row r="40" spans="1:15" ht="15.75" customHeight="1" x14ac:dyDescent="0.25">
      <c r="A40" s="21"/>
      <c r="B40" s="10">
        <f t="shared" si="10"/>
        <v>0</v>
      </c>
      <c r="C40" s="10"/>
      <c r="D40" s="10"/>
      <c r="E40" s="10"/>
      <c r="F40" s="10"/>
      <c r="H40" s="21"/>
      <c r="I40" s="21"/>
      <c r="J40" s="21"/>
      <c r="K40" s="21"/>
      <c r="L40" s="21"/>
      <c r="M40" s="21"/>
      <c r="N40" s="21"/>
    </row>
    <row r="41" spans="1:15" ht="15.75" customHeight="1" x14ac:dyDescent="0.25">
      <c r="A41" s="21"/>
      <c r="B41" s="10">
        <f>C41+D41+E41</f>
        <v>0</v>
      </c>
      <c r="C41" s="10"/>
      <c r="D41" s="10"/>
      <c r="E41" s="10"/>
      <c r="F41" s="10"/>
      <c r="H41" s="21"/>
      <c r="I41" s="21"/>
      <c r="J41" s="21"/>
      <c r="K41" s="21"/>
      <c r="L41" s="21"/>
      <c r="M41" s="21"/>
      <c r="N41" s="21"/>
    </row>
    <row r="42" spans="1:15" ht="15.75" customHeight="1" x14ac:dyDescent="0.25">
      <c r="A42" s="1" t="s">
        <v>63</v>
      </c>
      <c r="B42" s="26">
        <f t="shared" ref="B42:B43" si="11">M42</f>
        <v>43202.43</v>
      </c>
      <c r="C42" s="10">
        <f t="shared" ref="C42:L42" si="12">SUM(C37:C41)</f>
        <v>23792.289999999997</v>
      </c>
      <c r="D42" s="10">
        <f t="shared" si="12"/>
        <v>2085.4700000000003</v>
      </c>
      <c r="E42" s="10">
        <f t="shared" si="12"/>
        <v>1211.8400000000001</v>
      </c>
      <c r="F42" s="10">
        <f t="shared" si="12"/>
        <v>16112.83</v>
      </c>
      <c r="G42" s="10">
        <f t="shared" si="12"/>
        <v>0</v>
      </c>
      <c r="H42" s="10">
        <f t="shared" si="12"/>
        <v>0</v>
      </c>
      <c r="I42" s="10">
        <f t="shared" si="12"/>
        <v>0</v>
      </c>
      <c r="J42" s="10">
        <f t="shared" si="12"/>
        <v>0</v>
      </c>
      <c r="K42" s="10">
        <f t="shared" si="12"/>
        <v>0</v>
      </c>
      <c r="L42" s="10">
        <f t="shared" si="12"/>
        <v>0</v>
      </c>
      <c r="M42" s="26">
        <f>SUM(C42:L42)</f>
        <v>43202.43</v>
      </c>
      <c r="N42" s="9"/>
    </row>
    <row r="43" spans="1:15" ht="15.75" customHeight="1" x14ac:dyDescent="0.25">
      <c r="A43" s="1" t="s">
        <v>49</v>
      </c>
      <c r="B43" s="26">
        <f t="shared" si="11"/>
        <v>0</v>
      </c>
      <c r="D43" s="10"/>
      <c r="E43" s="10"/>
      <c r="F43" s="10"/>
      <c r="H43" s="9"/>
      <c r="I43" s="9"/>
      <c r="J43" s="9"/>
      <c r="K43" s="9"/>
      <c r="L43" s="9"/>
      <c r="M43" s="26"/>
      <c r="N43" s="9"/>
    </row>
    <row r="44" spans="1:15" ht="15.75" customHeight="1" x14ac:dyDescent="0.25">
      <c r="A44" s="1" t="s">
        <v>64</v>
      </c>
      <c r="B44" s="9"/>
      <c r="C44" s="10"/>
      <c r="D44" s="10"/>
      <c r="E44" s="10"/>
      <c r="F44" s="10"/>
      <c r="H44" s="10"/>
      <c r="I44" s="10"/>
      <c r="J44" s="10"/>
      <c r="K44" s="10"/>
      <c r="L44" s="10"/>
      <c r="M44" s="10"/>
      <c r="N44" s="10"/>
    </row>
    <row r="45" spans="1:15" ht="15.75" customHeight="1" x14ac:dyDescent="0.25">
      <c r="A45" s="21" t="s">
        <v>65</v>
      </c>
      <c r="C45" s="10"/>
      <c r="D45" s="10"/>
      <c r="E45" s="10"/>
      <c r="F45" s="10"/>
      <c r="H45" s="10"/>
      <c r="I45" s="10"/>
      <c r="J45" s="10"/>
      <c r="K45" s="10"/>
      <c r="L45" s="10"/>
      <c r="M45" s="10">
        <v>26872.63</v>
      </c>
      <c r="N45" s="10"/>
      <c r="O45" s="10"/>
    </row>
    <row r="46" spans="1:15" ht="15.75" customHeight="1" x14ac:dyDescent="0.25">
      <c r="A46" s="21" t="s">
        <v>66</v>
      </c>
      <c r="C46" s="10"/>
      <c r="D46" s="10"/>
      <c r="E46" s="10"/>
      <c r="F46" s="10"/>
      <c r="H46" s="10"/>
      <c r="I46" s="10"/>
      <c r="J46" s="10"/>
      <c r="K46" s="10"/>
      <c r="L46" s="10"/>
      <c r="M46" s="10">
        <v>2709.63</v>
      </c>
      <c r="N46" s="10"/>
    </row>
    <row r="47" spans="1:15" ht="15.75" customHeight="1" x14ac:dyDescent="0.25">
      <c r="A47" s="21" t="s">
        <v>67</v>
      </c>
      <c r="C47" s="10"/>
      <c r="D47" s="10"/>
      <c r="E47" s="10"/>
      <c r="F47" s="10"/>
      <c r="H47" s="10"/>
      <c r="I47" s="10"/>
      <c r="J47" s="10"/>
      <c r="K47" s="10"/>
      <c r="L47" s="10"/>
      <c r="M47" s="10">
        <v>8960.07</v>
      </c>
      <c r="N47" s="10"/>
    </row>
    <row r="48" spans="1:15" ht="15.75" customHeight="1" x14ac:dyDescent="0.25">
      <c r="A48" s="21" t="s">
        <v>68</v>
      </c>
      <c r="B48" s="10"/>
      <c r="C48" s="10"/>
      <c r="D48" s="10"/>
      <c r="E48" s="10"/>
      <c r="F48" s="10"/>
      <c r="H48" s="10"/>
      <c r="I48" s="10"/>
      <c r="J48" s="10"/>
      <c r="K48" s="10"/>
      <c r="L48" s="10"/>
      <c r="M48" s="10">
        <v>1303.45</v>
      </c>
      <c r="N48" s="10"/>
    </row>
    <row r="49" spans="1:14" ht="15.75" customHeight="1" x14ac:dyDescent="0.25">
      <c r="A49" s="21" t="s">
        <v>69</v>
      </c>
      <c r="B49" s="10"/>
      <c r="C49" s="10"/>
      <c r="D49" s="10"/>
      <c r="E49" s="10"/>
      <c r="F49" s="10"/>
      <c r="H49" s="10"/>
      <c r="I49" s="10"/>
      <c r="J49" s="10"/>
      <c r="K49" s="10"/>
      <c r="L49" s="10"/>
      <c r="M49" s="10">
        <v>248</v>
      </c>
      <c r="N49" s="10"/>
    </row>
    <row r="50" spans="1:14" ht="15.75" customHeight="1" x14ac:dyDescent="0.25">
      <c r="A50" s="21" t="s">
        <v>70</v>
      </c>
      <c r="B50" s="10"/>
      <c r="C50" s="10"/>
      <c r="D50" s="10"/>
      <c r="E50" s="10"/>
      <c r="F50" s="10"/>
      <c r="H50" s="10"/>
      <c r="I50" s="10"/>
      <c r="J50" s="10"/>
      <c r="K50" s="10"/>
      <c r="L50" s="10"/>
      <c r="M50" s="10">
        <v>1158.76</v>
      </c>
      <c r="N50" s="10"/>
    </row>
    <row r="51" spans="1:14" ht="15.75" customHeight="1" x14ac:dyDescent="0.25">
      <c r="A51" s="21" t="s">
        <v>71</v>
      </c>
      <c r="B51" s="10"/>
      <c r="C51" s="10"/>
      <c r="D51" s="10"/>
      <c r="E51" s="10"/>
      <c r="F51" s="10"/>
      <c r="H51" s="10"/>
      <c r="I51" s="10"/>
      <c r="J51" s="10"/>
      <c r="K51" s="10"/>
      <c r="L51" s="10"/>
      <c r="M51" s="10">
        <v>925.2</v>
      </c>
      <c r="N51" s="10"/>
    </row>
    <row r="52" spans="1:14" ht="15.75" customHeight="1" x14ac:dyDescent="0.25">
      <c r="A52" s="21" t="s">
        <v>72</v>
      </c>
      <c r="B52" s="10"/>
      <c r="C52" s="10"/>
      <c r="D52" s="10"/>
      <c r="E52" s="10"/>
      <c r="F52" s="10"/>
      <c r="H52" s="10"/>
      <c r="I52" s="10"/>
      <c r="J52" s="10"/>
      <c r="K52" s="10"/>
      <c r="L52" s="10"/>
      <c r="M52" s="10">
        <f>769.74+227.13</f>
        <v>996.87</v>
      </c>
      <c r="N52" s="10"/>
    </row>
    <row r="53" spans="1:14" ht="15.75" customHeight="1" x14ac:dyDescent="0.25">
      <c r="A53" s="21" t="s">
        <v>73</v>
      </c>
      <c r="B53" s="10"/>
      <c r="C53" s="10"/>
      <c r="D53" s="10"/>
      <c r="E53" s="10"/>
      <c r="F53" s="10"/>
      <c r="H53" s="10"/>
      <c r="I53" s="10"/>
      <c r="J53" s="10"/>
      <c r="K53" s="10"/>
      <c r="L53" s="10"/>
      <c r="M53" s="10">
        <v>-253.36</v>
      </c>
      <c r="N53" s="10"/>
    </row>
    <row r="54" spans="1:14" ht="15.75" customHeight="1" x14ac:dyDescent="0.25">
      <c r="A54" s="1" t="s">
        <v>74</v>
      </c>
      <c r="B54" s="26">
        <f>SUM(C54:M54)</f>
        <v>42921.25</v>
      </c>
      <c r="C54" s="10"/>
      <c r="D54" s="10"/>
      <c r="E54" s="10"/>
      <c r="F54" s="10"/>
      <c r="H54" s="9"/>
      <c r="I54" s="9"/>
      <c r="J54" s="9"/>
      <c r="K54" s="9"/>
      <c r="L54" s="9"/>
      <c r="M54" s="26">
        <f>SUM(M45:M53)</f>
        <v>42921.25</v>
      </c>
      <c r="N54" s="9"/>
    </row>
    <row r="55" spans="1:14" ht="15.75" customHeight="1" x14ac:dyDescent="0.25">
      <c r="A55" s="1" t="s">
        <v>57</v>
      </c>
      <c r="B55" s="15">
        <f>B36+B42+B43-B54</f>
        <v>43947.709999999992</v>
      </c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14" ht="15.75" customHeight="1" x14ac:dyDescent="0.25">
      <c r="A56" s="1"/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ht="15.75" customHeight="1" x14ac:dyDescent="0.25">
      <c r="A57" s="2" t="s">
        <v>75</v>
      </c>
      <c r="B57" s="3" t="s">
        <v>2</v>
      </c>
      <c r="C57" s="4" t="s">
        <v>3</v>
      </c>
      <c r="D57" s="4" t="s">
        <v>4</v>
      </c>
      <c r="E57" s="4" t="s">
        <v>5</v>
      </c>
      <c r="F57" s="4" t="s">
        <v>6</v>
      </c>
      <c r="G57" s="4" t="s">
        <v>7</v>
      </c>
      <c r="H57" s="4" t="s">
        <v>7</v>
      </c>
      <c r="I57" s="4" t="s">
        <v>8</v>
      </c>
      <c r="J57" s="4" t="s">
        <v>9</v>
      </c>
      <c r="K57" s="4" t="s">
        <v>9</v>
      </c>
      <c r="L57" s="4" t="s">
        <v>9</v>
      </c>
      <c r="M57" s="4" t="s">
        <v>12</v>
      </c>
      <c r="N57" s="4" t="s">
        <v>13</v>
      </c>
    </row>
    <row r="58" spans="1:14" ht="15.75" customHeight="1" x14ac:dyDescent="0.25">
      <c r="A58" s="6" t="s">
        <v>14</v>
      </c>
      <c r="B58" s="6" t="s">
        <v>76</v>
      </c>
      <c r="C58" s="7" t="s">
        <v>16</v>
      </c>
      <c r="D58" s="7" t="s">
        <v>17</v>
      </c>
      <c r="E58" s="7" t="s">
        <v>18</v>
      </c>
      <c r="F58" s="7" t="s">
        <v>19</v>
      </c>
      <c r="G58" s="7" t="s">
        <v>117</v>
      </c>
      <c r="H58" s="7" t="s">
        <v>21</v>
      </c>
      <c r="I58" s="7" t="s">
        <v>22</v>
      </c>
      <c r="J58" s="7" t="s">
        <v>77</v>
      </c>
      <c r="K58" s="7" t="s">
        <v>24</v>
      </c>
      <c r="L58" s="7" t="s">
        <v>25</v>
      </c>
      <c r="M58" s="7" t="s">
        <v>26</v>
      </c>
      <c r="N58" s="7" t="s">
        <v>27</v>
      </c>
    </row>
    <row r="59" spans="1:14" ht="15.75" customHeight="1" x14ac:dyDescent="0.25">
      <c r="A59" s="8" t="s">
        <v>28</v>
      </c>
      <c r="B59" s="9">
        <f t="shared" ref="B59:B60" si="13">SUM(C59:N59)</f>
        <v>43947.709999999992</v>
      </c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>
        <f>B55</f>
        <v>43947.709999999992</v>
      </c>
      <c r="N59" s="10"/>
    </row>
    <row r="60" spans="1:14" ht="15.75" customHeight="1" x14ac:dyDescent="0.25">
      <c r="A60" s="8" t="s">
        <v>78</v>
      </c>
      <c r="B60" s="9">
        <f t="shared" si="13"/>
        <v>2371862.36</v>
      </c>
      <c r="C60" s="12">
        <f t="shared" ref="C60:L60" si="14">C32</f>
        <v>514875.90000000008</v>
      </c>
      <c r="D60" s="12">
        <f t="shared" si="14"/>
        <v>742908.86999999988</v>
      </c>
      <c r="E60" s="12">
        <f t="shared" si="14"/>
        <v>706242.21</v>
      </c>
      <c r="F60" s="12">
        <f t="shared" si="14"/>
        <v>16918.440000000013</v>
      </c>
      <c r="G60" s="10">
        <f t="shared" si="14"/>
        <v>-5288.25</v>
      </c>
      <c r="H60" s="10">
        <f t="shared" si="14"/>
        <v>0</v>
      </c>
      <c r="I60" s="10">
        <f t="shared" si="14"/>
        <v>-617.19999999999709</v>
      </c>
      <c r="J60" s="10">
        <f t="shared" si="14"/>
        <v>252472.84000000003</v>
      </c>
      <c r="K60" s="10">
        <f t="shared" si="14"/>
        <v>40773.909999999996</v>
      </c>
      <c r="L60" s="10">
        <f t="shared" si="14"/>
        <v>83699.87999999999</v>
      </c>
      <c r="M60" s="10"/>
      <c r="N60" s="10">
        <f>N32</f>
        <v>19875.759999999998</v>
      </c>
    </row>
    <row r="61" spans="1:14" ht="15.75" customHeight="1" x14ac:dyDescent="0.25">
      <c r="A61" s="8"/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ht="15.75" customHeight="1" x14ac:dyDescent="0.25">
      <c r="A62" s="1" t="s">
        <v>32</v>
      </c>
      <c r="B62" s="15">
        <f>SUM(C62:N62)</f>
        <v>2415810.0699999998</v>
      </c>
      <c r="C62" s="15">
        <f t="shared" ref="C62:N62" si="15">SUM(C59:C60)</f>
        <v>514875.90000000008</v>
      </c>
      <c r="D62" s="15">
        <f t="shared" si="15"/>
        <v>742908.86999999988</v>
      </c>
      <c r="E62" s="15">
        <f t="shared" si="15"/>
        <v>706242.21</v>
      </c>
      <c r="F62" s="15">
        <f t="shared" si="15"/>
        <v>16918.440000000013</v>
      </c>
      <c r="G62" s="15">
        <f t="shared" si="15"/>
        <v>-5288.25</v>
      </c>
      <c r="H62" s="15">
        <f t="shared" si="15"/>
        <v>0</v>
      </c>
      <c r="I62" s="15">
        <f t="shared" si="15"/>
        <v>-617.19999999999709</v>
      </c>
      <c r="J62" s="15">
        <f t="shared" si="15"/>
        <v>252472.84000000003</v>
      </c>
      <c r="K62" s="15">
        <f t="shared" si="15"/>
        <v>40773.909999999996</v>
      </c>
      <c r="L62" s="15">
        <f t="shared" si="15"/>
        <v>83699.87999999999</v>
      </c>
      <c r="M62" s="15">
        <f t="shared" si="15"/>
        <v>43947.709999999992</v>
      </c>
      <c r="N62" s="15">
        <f t="shared" si="15"/>
        <v>19875.759999999998</v>
      </c>
    </row>
    <row r="63" spans="1:14" ht="15.75" customHeight="1" x14ac:dyDescent="0.25">
      <c r="A63" s="21"/>
      <c r="B63" s="21"/>
      <c r="C63" s="10"/>
      <c r="D63" s="10"/>
      <c r="E63" s="10"/>
      <c r="F63" s="10"/>
    </row>
    <row r="64" spans="1:14" ht="15.75" customHeight="1" x14ac:dyDescent="0.25">
      <c r="A64" s="21" t="str">
        <f>A1</f>
        <v xml:space="preserve">Month: June 2025                                                                                                                                </v>
      </c>
      <c r="B64" s="21"/>
      <c r="D64" s="10"/>
      <c r="E64" s="10"/>
      <c r="G64" s="10"/>
      <c r="H64" s="10"/>
      <c r="I64" s="10"/>
    </row>
    <row r="65" spans="1:19" ht="15.75" customHeight="1" x14ac:dyDescent="0.25">
      <c r="A65" s="10"/>
      <c r="B65" s="27" t="s">
        <v>79</v>
      </c>
      <c r="C65" s="27" t="s">
        <v>80</v>
      </c>
      <c r="D65" s="27" t="s">
        <v>81</v>
      </c>
      <c r="E65" s="27" t="s">
        <v>82</v>
      </c>
      <c r="F65" s="11" t="s">
        <v>83</v>
      </c>
      <c r="G65" s="10"/>
      <c r="H65" s="10"/>
      <c r="I65" s="10"/>
    </row>
    <row r="66" spans="1:19" ht="15.75" customHeight="1" x14ac:dyDescent="0.25">
      <c r="A66" s="30" t="s">
        <v>84</v>
      </c>
      <c r="B66" s="10"/>
      <c r="C66" s="10">
        <v>330192.01</v>
      </c>
      <c r="D66" s="10">
        <f>C101</f>
        <v>25412.150000000005</v>
      </c>
      <c r="E66" s="10">
        <f>D87</f>
        <v>0</v>
      </c>
      <c r="F66" s="10">
        <f t="shared" ref="F66:F67" si="16">(C66-D66+E66)-B66</f>
        <v>304779.86</v>
      </c>
      <c r="G66" s="10"/>
      <c r="H66" s="10"/>
      <c r="I66" s="10">
        <f>C66-D66</f>
        <v>304779.86</v>
      </c>
      <c r="O66" s="14"/>
    </row>
    <row r="67" spans="1:19" ht="15.75" customHeight="1" x14ac:dyDescent="0.25">
      <c r="A67" s="30" t="s">
        <v>85</v>
      </c>
      <c r="B67" s="10">
        <f>B33-M33</f>
        <v>2368708.5399999996</v>
      </c>
      <c r="C67" s="10">
        <f>20568.33+2031209.11</f>
        <v>2051777.4400000002</v>
      </c>
      <c r="D67" s="10">
        <f>D83</f>
        <v>0</v>
      </c>
      <c r="E67" s="10">
        <f>E79</f>
        <v>0</v>
      </c>
      <c r="F67" s="10">
        <f t="shared" si="16"/>
        <v>-316931.09999999939</v>
      </c>
      <c r="H67" s="10"/>
      <c r="I67" s="10">
        <f>C67+E67</f>
        <v>2051777.4400000002</v>
      </c>
    </row>
    <row r="68" spans="1:19" ht="15.75" customHeight="1" x14ac:dyDescent="0.25">
      <c r="A68" s="30"/>
      <c r="B68" s="10"/>
      <c r="C68" s="10"/>
      <c r="D68" s="10"/>
      <c r="F68" s="31">
        <f>F66+F67</f>
        <v>-12151.239999999409</v>
      </c>
      <c r="G68" s="10"/>
      <c r="H68" s="10"/>
      <c r="I68" s="10">
        <f>I66+I67</f>
        <v>2356557.3000000003</v>
      </c>
      <c r="O68" s="14"/>
    </row>
    <row r="69" spans="1:19" ht="15.75" customHeight="1" x14ac:dyDescent="0.25">
      <c r="A69" s="30" t="s">
        <v>28</v>
      </c>
      <c r="B69" s="10">
        <f>B55</f>
        <v>43947.709999999992</v>
      </c>
      <c r="C69" s="10">
        <v>50058.09</v>
      </c>
      <c r="D69" s="10">
        <f>J84</f>
        <v>2376.9700000000003</v>
      </c>
      <c r="E69" s="10">
        <f>J90</f>
        <v>0</v>
      </c>
      <c r="F69" s="10">
        <f>(C69-D69+E69)-B69</f>
        <v>3733.4100000000035</v>
      </c>
      <c r="G69" s="10"/>
      <c r="H69" s="10"/>
      <c r="I69" s="10"/>
    </row>
    <row r="70" spans="1:19" ht="15.75" customHeight="1" x14ac:dyDescent="0.25">
      <c r="A70" s="8"/>
      <c r="B70" s="10"/>
      <c r="C70" s="10" t="s">
        <v>86</v>
      </c>
      <c r="D70" s="10"/>
      <c r="E70" s="10" t="s">
        <v>87</v>
      </c>
      <c r="F70" s="31">
        <f>F68+F69</f>
        <v>-8417.8299999994051</v>
      </c>
      <c r="G70" s="10"/>
      <c r="H70" s="10"/>
      <c r="I70" s="10"/>
      <c r="J70" s="32"/>
      <c r="K70" s="32"/>
      <c r="L70" s="32"/>
      <c r="M70" s="32"/>
      <c r="N70" s="32"/>
    </row>
    <row r="71" spans="1:19" ht="15.75" customHeight="1" x14ac:dyDescent="0.25">
      <c r="A71" s="8"/>
      <c r="B71" s="10"/>
      <c r="C71" s="10"/>
      <c r="D71" s="10"/>
      <c r="E71" s="10"/>
      <c r="F71" s="10"/>
      <c r="G71" s="10"/>
      <c r="H71" s="10"/>
      <c r="I71" s="10"/>
      <c r="J71" s="32"/>
      <c r="K71" s="32"/>
      <c r="L71" s="32"/>
      <c r="M71" s="32"/>
      <c r="N71" s="32"/>
    </row>
    <row r="72" spans="1:19" ht="15.75" customHeight="1" x14ac:dyDescent="0.25">
      <c r="A72" s="27"/>
      <c r="B72" s="69" t="s">
        <v>88</v>
      </c>
      <c r="C72" s="70"/>
      <c r="D72" s="71" t="s">
        <v>89</v>
      </c>
      <c r="E72" s="72"/>
      <c r="F72" s="23" t="s">
        <v>90</v>
      </c>
      <c r="J72" s="33" t="s">
        <v>91</v>
      </c>
      <c r="K72" s="34"/>
      <c r="L72" s="34"/>
      <c r="M72" s="32"/>
      <c r="N72" s="32"/>
      <c r="O72" s="32"/>
      <c r="P72" s="32"/>
      <c r="Q72" s="32"/>
    </row>
    <row r="73" spans="1:19" ht="15.75" customHeight="1" x14ac:dyDescent="0.25">
      <c r="A73" s="52">
        <v>45575</v>
      </c>
      <c r="B73" s="54">
        <v>18568</v>
      </c>
      <c r="C73" s="53">
        <v>86</v>
      </c>
      <c r="D73" s="36" t="s">
        <v>92</v>
      </c>
      <c r="E73" s="37">
        <v>0</v>
      </c>
      <c r="H73" s="35">
        <v>45826</v>
      </c>
      <c r="I73" s="23">
        <v>8423</v>
      </c>
      <c r="J73" s="23">
        <v>263.51</v>
      </c>
      <c r="L73" s="8"/>
      <c r="S73" s="14"/>
    </row>
    <row r="74" spans="1:19" ht="15.75" customHeight="1" x14ac:dyDescent="0.25">
      <c r="A74" s="52">
        <v>45575</v>
      </c>
      <c r="B74" s="54">
        <v>18573</v>
      </c>
      <c r="C74" s="53">
        <v>143.28</v>
      </c>
      <c r="D74" s="38" t="s">
        <v>93</v>
      </c>
      <c r="E74" s="39">
        <v>0</v>
      </c>
      <c r="F74" s="22"/>
      <c r="H74" s="35">
        <v>45826</v>
      </c>
      <c r="I74" s="23">
        <v>8425</v>
      </c>
      <c r="J74" s="23">
        <v>238.72</v>
      </c>
      <c r="L74" s="8"/>
      <c r="S74" s="14"/>
    </row>
    <row r="75" spans="1:19" ht="15.75" customHeight="1" x14ac:dyDescent="0.25">
      <c r="A75" s="52">
        <v>45672</v>
      </c>
      <c r="B75" s="54">
        <v>18767</v>
      </c>
      <c r="C75" s="53">
        <v>6170</v>
      </c>
      <c r="D75" s="38" t="s">
        <v>94</v>
      </c>
      <c r="E75" s="39">
        <v>0</v>
      </c>
      <c r="F75" s="22"/>
      <c r="H75" s="52">
        <v>45826</v>
      </c>
      <c r="I75" s="54">
        <v>8439</v>
      </c>
      <c r="J75" s="53">
        <v>474.41</v>
      </c>
      <c r="K75" s="8"/>
      <c r="L75" s="8"/>
      <c r="S75" s="14"/>
    </row>
    <row r="76" spans="1:19" ht="15.75" customHeight="1" x14ac:dyDescent="0.25">
      <c r="A76" s="52">
        <v>45700</v>
      </c>
      <c r="B76" s="54">
        <v>18812</v>
      </c>
      <c r="C76" s="53">
        <v>220</v>
      </c>
      <c r="D76" s="38" t="s">
        <v>95</v>
      </c>
      <c r="E76" s="39">
        <v>0</v>
      </c>
      <c r="F76" s="22"/>
      <c r="H76" s="52">
        <v>45838</v>
      </c>
      <c r="I76" s="54">
        <v>8444</v>
      </c>
      <c r="J76" s="53">
        <v>227.13</v>
      </c>
      <c r="K76" s="8"/>
      <c r="L76" s="8"/>
      <c r="S76" s="14"/>
    </row>
    <row r="77" spans="1:19" ht="15.75" customHeight="1" x14ac:dyDescent="0.25">
      <c r="A77" s="52">
        <v>45728</v>
      </c>
      <c r="B77" s="54">
        <v>18859</v>
      </c>
      <c r="C77" s="53">
        <v>61.04</v>
      </c>
      <c r="D77" s="38" t="s">
        <v>96</v>
      </c>
      <c r="E77" s="39">
        <v>0</v>
      </c>
      <c r="H77" s="52">
        <v>45838</v>
      </c>
      <c r="I77" s="54">
        <v>8445</v>
      </c>
      <c r="J77" s="53">
        <v>248</v>
      </c>
      <c r="K77" s="8"/>
      <c r="L77" s="8"/>
      <c r="S77" s="14"/>
    </row>
    <row r="78" spans="1:19" ht="15.75" customHeight="1" x14ac:dyDescent="0.25">
      <c r="A78" s="52">
        <v>45728</v>
      </c>
      <c r="B78" s="54">
        <v>18866</v>
      </c>
      <c r="C78" s="53">
        <v>2500</v>
      </c>
      <c r="D78" s="38" t="s">
        <v>97</v>
      </c>
      <c r="E78" s="39">
        <v>0</v>
      </c>
      <c r="F78" s="73" t="s">
        <v>98</v>
      </c>
      <c r="G78" s="72"/>
      <c r="H78" s="35">
        <v>45838</v>
      </c>
      <c r="I78" s="23" t="s">
        <v>71</v>
      </c>
      <c r="J78" s="53">
        <v>925.2</v>
      </c>
      <c r="K78" s="8"/>
      <c r="L78" s="8"/>
      <c r="S78" s="14"/>
    </row>
    <row r="79" spans="1:19" ht="15.75" customHeight="1" x14ac:dyDescent="0.25">
      <c r="A79" s="52">
        <v>45757</v>
      </c>
      <c r="B79" s="54">
        <v>18886</v>
      </c>
      <c r="C79" s="53">
        <v>96.2</v>
      </c>
      <c r="D79" s="40"/>
      <c r="E79" s="41">
        <f>E73+E74+E75+E76+E77+E78</f>
        <v>0</v>
      </c>
      <c r="F79" s="42"/>
      <c r="G79" s="43"/>
      <c r="H79" s="35"/>
      <c r="J79" s="53"/>
      <c r="K79" s="8"/>
      <c r="L79" s="8"/>
      <c r="S79" s="14"/>
    </row>
    <row r="80" spans="1:19" ht="15.75" customHeight="1" x14ac:dyDescent="0.25">
      <c r="A80" s="52">
        <v>45791</v>
      </c>
      <c r="B80" s="54">
        <v>18931</v>
      </c>
      <c r="C80" s="53">
        <v>172</v>
      </c>
      <c r="D80" s="44" t="s">
        <v>99</v>
      </c>
      <c r="F80" s="23" t="s">
        <v>100</v>
      </c>
      <c r="G80" s="27"/>
      <c r="H80" s="35"/>
      <c r="J80" s="53"/>
      <c r="K80" s="8"/>
      <c r="L80" s="8"/>
      <c r="S80" s="14"/>
    </row>
    <row r="81" spans="1:19" ht="15.75" customHeight="1" x14ac:dyDescent="0.25">
      <c r="A81" s="52">
        <v>45791</v>
      </c>
      <c r="B81" s="54">
        <v>18944</v>
      </c>
      <c r="C81" s="53">
        <v>128</v>
      </c>
      <c r="D81" s="45"/>
      <c r="F81" s="23" t="s">
        <v>101</v>
      </c>
      <c r="G81" s="27"/>
      <c r="H81" s="27"/>
      <c r="I81" s="27"/>
      <c r="J81" s="10"/>
      <c r="K81" s="8"/>
      <c r="L81" s="8"/>
      <c r="S81" s="14"/>
    </row>
    <row r="82" spans="1:19" ht="15.75" customHeight="1" x14ac:dyDescent="0.25">
      <c r="A82" s="52">
        <v>45819</v>
      </c>
      <c r="B82" s="23">
        <v>18986</v>
      </c>
      <c r="C82" s="56">
        <v>3500</v>
      </c>
      <c r="D82" s="14"/>
      <c r="F82" s="23" t="s">
        <v>102</v>
      </c>
      <c r="G82" s="27"/>
      <c r="H82" s="27"/>
      <c r="I82" s="27"/>
      <c r="J82" s="10"/>
      <c r="K82" s="8"/>
      <c r="L82" s="8"/>
      <c r="S82" s="14"/>
    </row>
    <row r="83" spans="1:19" ht="15.75" customHeight="1" x14ac:dyDescent="0.25">
      <c r="A83" s="52">
        <v>45819</v>
      </c>
      <c r="B83" s="54">
        <v>18987</v>
      </c>
      <c r="C83" s="53">
        <v>43</v>
      </c>
      <c r="D83" s="46">
        <f>SUM(D81:D82)</f>
        <v>0</v>
      </c>
      <c r="F83" s="23" t="s">
        <v>103</v>
      </c>
      <c r="G83" s="27"/>
      <c r="H83" s="27"/>
      <c r="I83" s="27"/>
      <c r="J83" s="10"/>
      <c r="K83" s="8"/>
      <c r="L83" s="8"/>
      <c r="S83" s="14"/>
    </row>
    <row r="84" spans="1:19" ht="15.75" customHeight="1" x14ac:dyDescent="0.25">
      <c r="A84" s="52">
        <v>45819</v>
      </c>
      <c r="B84" s="54">
        <v>18989</v>
      </c>
      <c r="C84" s="53">
        <v>134</v>
      </c>
      <c r="F84" s="23" t="s">
        <v>104</v>
      </c>
      <c r="G84" s="27"/>
      <c r="H84" s="27"/>
      <c r="I84" s="27"/>
      <c r="J84" s="47">
        <f>SUM(J73:J83)</f>
        <v>2376.9700000000003</v>
      </c>
      <c r="K84" s="8"/>
      <c r="L84" s="8"/>
      <c r="S84" s="14"/>
    </row>
    <row r="85" spans="1:19" ht="15.75" customHeight="1" x14ac:dyDescent="0.25">
      <c r="A85" s="52">
        <v>45819</v>
      </c>
      <c r="B85" s="54">
        <v>18990</v>
      </c>
      <c r="C85" s="53">
        <v>800</v>
      </c>
      <c r="F85" s="23" t="s">
        <v>105</v>
      </c>
      <c r="G85" s="27"/>
      <c r="H85" s="27"/>
      <c r="I85" s="27"/>
      <c r="J85" s="14"/>
      <c r="K85" s="8"/>
      <c r="L85" s="8"/>
      <c r="S85" s="14"/>
    </row>
    <row r="86" spans="1:19" ht="15.75" customHeight="1" x14ac:dyDescent="0.25">
      <c r="A86" s="52">
        <v>45819</v>
      </c>
      <c r="B86" s="23">
        <v>18996</v>
      </c>
      <c r="C86" s="56">
        <v>43</v>
      </c>
      <c r="D86" s="33" t="s">
        <v>106</v>
      </c>
      <c r="E86" s="32"/>
      <c r="F86" s="23" t="s">
        <v>107</v>
      </c>
      <c r="G86" s="27"/>
      <c r="H86" s="27"/>
      <c r="I86" s="27"/>
      <c r="J86" s="33" t="s">
        <v>108</v>
      </c>
      <c r="K86" s="8"/>
      <c r="L86" s="8"/>
      <c r="S86" s="14"/>
    </row>
    <row r="87" spans="1:19" ht="15.75" customHeight="1" x14ac:dyDescent="0.25">
      <c r="A87" s="52">
        <v>45819</v>
      </c>
      <c r="B87" s="23">
        <v>18999</v>
      </c>
      <c r="C87" s="56">
        <v>48</v>
      </c>
      <c r="D87" s="45"/>
      <c r="E87" s="32"/>
      <c r="F87" s="14"/>
      <c r="J87" s="48"/>
      <c r="K87" s="8"/>
      <c r="L87" s="8"/>
      <c r="S87" s="14"/>
    </row>
    <row r="88" spans="1:19" ht="15" customHeight="1" x14ac:dyDescent="0.25">
      <c r="A88" s="52">
        <v>45819</v>
      </c>
      <c r="B88" s="23">
        <v>19006</v>
      </c>
      <c r="C88" s="56">
        <v>86</v>
      </c>
      <c r="D88" s="14"/>
      <c r="E88" s="32"/>
      <c r="F88" s="14"/>
      <c r="G88" s="14"/>
      <c r="H88" s="14"/>
      <c r="I88" s="14"/>
      <c r="J88" s="48"/>
      <c r="K88" s="8"/>
      <c r="L88" s="8"/>
      <c r="S88" s="14"/>
    </row>
    <row r="89" spans="1:19" ht="15" customHeight="1" x14ac:dyDescent="0.25">
      <c r="A89" s="35">
        <v>45838</v>
      </c>
      <c r="B89" s="23">
        <v>19021</v>
      </c>
      <c r="C89" s="56">
        <v>1050.03</v>
      </c>
      <c r="D89" s="14"/>
      <c r="E89" s="32"/>
      <c r="F89" s="14"/>
      <c r="G89" s="14"/>
      <c r="H89" s="14"/>
      <c r="I89" s="14"/>
      <c r="J89" s="48"/>
      <c r="K89" s="8"/>
      <c r="L89" s="8"/>
      <c r="S89" s="14"/>
    </row>
    <row r="90" spans="1:19" ht="15" customHeight="1" x14ac:dyDescent="0.25">
      <c r="A90" s="35">
        <v>45838</v>
      </c>
      <c r="B90" s="23">
        <v>19022</v>
      </c>
      <c r="C90" s="56">
        <v>10047.290000000001</v>
      </c>
      <c r="D90" s="14"/>
      <c r="E90" s="32"/>
      <c r="F90" s="14"/>
      <c r="G90" s="14"/>
      <c r="H90" s="49"/>
      <c r="I90" s="8"/>
      <c r="J90" s="50">
        <f>SUM(J87:J89)</f>
        <v>0</v>
      </c>
      <c r="Q90" s="14"/>
    </row>
    <row r="91" spans="1:19" ht="15" customHeight="1" x14ac:dyDescent="0.25">
      <c r="A91" s="35">
        <v>45838</v>
      </c>
      <c r="B91" s="23">
        <v>19023</v>
      </c>
      <c r="C91" s="56">
        <v>84.31</v>
      </c>
      <c r="D91" s="14"/>
      <c r="E91" s="32"/>
      <c r="F91" s="14"/>
      <c r="G91" s="14"/>
      <c r="H91" s="49"/>
      <c r="I91" s="8"/>
      <c r="J91" s="8"/>
      <c r="Q91" s="14"/>
    </row>
    <row r="92" spans="1:19" ht="15" customHeight="1" x14ac:dyDescent="0.25">
      <c r="A92" s="35"/>
      <c r="B92" s="23"/>
      <c r="C92" s="56"/>
      <c r="D92" s="14"/>
      <c r="E92" s="32"/>
      <c r="F92" s="14"/>
      <c r="G92" s="14"/>
      <c r="H92" s="49"/>
      <c r="I92" s="8"/>
      <c r="J92" s="8"/>
      <c r="Q92" s="14"/>
    </row>
    <row r="93" spans="1:19" ht="15" customHeight="1" x14ac:dyDescent="0.25">
      <c r="A93" s="35"/>
      <c r="B93" s="23"/>
      <c r="C93" s="56"/>
      <c r="D93" s="14"/>
      <c r="E93" s="32"/>
      <c r="F93" s="14"/>
      <c r="G93" s="14"/>
      <c r="H93" s="49"/>
      <c r="I93" s="8"/>
      <c r="J93" s="8"/>
      <c r="Q93" s="14"/>
    </row>
    <row r="94" spans="1:19" ht="15" customHeight="1" x14ac:dyDescent="0.25">
      <c r="A94" s="35"/>
      <c r="B94" s="23"/>
      <c r="C94" s="14"/>
      <c r="D94" s="14"/>
      <c r="E94" s="32"/>
      <c r="F94" s="14"/>
      <c r="G94" s="14"/>
      <c r="H94" s="49"/>
      <c r="I94" s="8"/>
      <c r="J94" s="8"/>
      <c r="Q94" s="14"/>
    </row>
    <row r="95" spans="1:19" ht="15" customHeight="1" x14ac:dyDescent="0.25">
      <c r="A95" s="35"/>
      <c r="B95" s="23"/>
      <c r="C95" s="14"/>
      <c r="D95" s="14"/>
      <c r="E95" s="32"/>
      <c r="F95" s="14"/>
      <c r="G95" s="14"/>
      <c r="H95" s="49"/>
      <c r="I95" s="8"/>
      <c r="J95" s="8"/>
      <c r="Q95" s="14"/>
    </row>
    <row r="96" spans="1:19" ht="15" customHeight="1" x14ac:dyDescent="0.25">
      <c r="A96" s="35"/>
      <c r="B96" s="23"/>
      <c r="C96" s="14"/>
      <c r="D96" s="14"/>
      <c r="E96" s="32"/>
      <c r="F96" s="14"/>
      <c r="G96" s="14"/>
      <c r="H96" s="49"/>
      <c r="I96" s="8"/>
      <c r="J96" s="8"/>
      <c r="Q96" s="14"/>
    </row>
    <row r="97" spans="1:17" ht="15" customHeight="1" x14ac:dyDescent="0.25">
      <c r="A97" s="35"/>
      <c r="B97" s="23"/>
      <c r="C97" s="14"/>
      <c r="D97" s="14"/>
      <c r="E97" s="32"/>
      <c r="F97" s="14"/>
      <c r="G97" s="14"/>
      <c r="H97" s="49"/>
      <c r="I97" s="8"/>
      <c r="J97" s="8"/>
      <c r="Q97" s="14"/>
    </row>
    <row r="98" spans="1:17" ht="15" customHeight="1" x14ac:dyDescent="0.25">
      <c r="A98" s="35"/>
      <c r="B98" s="23"/>
      <c r="C98" s="14"/>
      <c r="D98" s="14"/>
      <c r="E98" s="32"/>
      <c r="F98" s="14"/>
      <c r="G98" s="14"/>
      <c r="H98" s="49"/>
      <c r="I98" s="8"/>
      <c r="J98" s="8"/>
      <c r="Q98" s="14"/>
    </row>
    <row r="99" spans="1:17" ht="15" customHeight="1" x14ac:dyDescent="0.25">
      <c r="A99" s="35"/>
      <c r="B99" s="23"/>
      <c r="C99" s="14"/>
      <c r="D99" s="14"/>
      <c r="E99" s="32"/>
      <c r="F99" s="14"/>
      <c r="G99" s="14"/>
      <c r="H99" s="49"/>
      <c r="I99" s="8"/>
      <c r="J99" s="8"/>
      <c r="Q99" s="14"/>
    </row>
    <row r="100" spans="1:17" ht="15" customHeight="1" x14ac:dyDescent="0.25">
      <c r="A100" s="35"/>
      <c r="B100" s="23"/>
      <c r="C100" s="14"/>
      <c r="D100" s="14"/>
      <c r="E100" s="32"/>
      <c r="F100" s="14"/>
      <c r="G100" s="14"/>
      <c r="H100" s="49"/>
      <c r="I100" s="8"/>
      <c r="J100" s="8"/>
      <c r="Q100" s="14"/>
    </row>
    <row r="101" spans="1:17" ht="15.75" customHeight="1" x14ac:dyDescent="0.25">
      <c r="C101" s="46">
        <f>SUM(C73:C100)</f>
        <v>25412.150000000005</v>
      </c>
      <c r="D101" s="14"/>
      <c r="E101" s="32"/>
      <c r="F101" s="14"/>
      <c r="G101" s="14"/>
      <c r="H101" s="49"/>
      <c r="I101" s="8"/>
      <c r="J101" s="8"/>
      <c r="Q101" s="14"/>
    </row>
    <row r="102" spans="1:17" ht="15.75" customHeight="1" x14ac:dyDescent="0.25">
      <c r="C102" s="14"/>
      <c r="D102" s="32"/>
      <c r="E102" s="14"/>
      <c r="F102" s="14"/>
      <c r="G102" s="49"/>
      <c r="H102" s="8"/>
      <c r="I102" s="8"/>
      <c r="P102" s="14"/>
    </row>
    <row r="103" spans="1:17" ht="15.75" customHeight="1" x14ac:dyDescent="0.25">
      <c r="C103" s="14"/>
      <c r="D103" s="32"/>
      <c r="E103" s="14"/>
      <c r="F103" s="14"/>
      <c r="G103" s="49"/>
      <c r="H103" s="8"/>
      <c r="I103" s="8"/>
      <c r="P103" s="14"/>
    </row>
    <row r="104" spans="1:17" ht="15.75" customHeight="1" x14ac:dyDescent="0.25">
      <c r="C104" s="14"/>
      <c r="D104" s="32"/>
      <c r="E104" s="14"/>
      <c r="F104" s="14"/>
      <c r="G104" s="49"/>
      <c r="H104" s="8"/>
      <c r="I104" s="8"/>
      <c r="P104" s="14"/>
    </row>
    <row r="105" spans="1:17" ht="15.75" customHeight="1" x14ac:dyDescent="0.25">
      <c r="C105" s="14"/>
      <c r="D105" s="32"/>
      <c r="E105" s="14"/>
      <c r="F105" s="14"/>
      <c r="G105" s="49"/>
      <c r="H105" s="8"/>
      <c r="I105" s="8"/>
      <c r="P105" s="14"/>
    </row>
    <row r="106" spans="1:17" ht="15.75" customHeight="1" x14ac:dyDescent="0.25">
      <c r="C106" s="14"/>
      <c r="D106" s="32"/>
      <c r="E106" s="14"/>
      <c r="F106" s="14"/>
      <c r="G106" s="49"/>
      <c r="H106" s="8"/>
      <c r="I106" s="8"/>
      <c r="P106" s="14"/>
    </row>
    <row r="107" spans="1:17" ht="15.75" customHeight="1" x14ac:dyDescent="0.25">
      <c r="C107" s="14"/>
      <c r="D107" s="32"/>
      <c r="E107" s="14"/>
      <c r="F107" s="14"/>
      <c r="G107" s="49"/>
      <c r="H107" s="8"/>
      <c r="I107" s="8"/>
      <c r="P107" s="14"/>
    </row>
    <row r="108" spans="1:17" ht="15.75" customHeight="1" x14ac:dyDescent="0.25">
      <c r="C108" s="14"/>
      <c r="D108" s="32"/>
      <c r="E108" s="14"/>
      <c r="F108" s="14"/>
      <c r="G108" s="49"/>
      <c r="H108" s="8"/>
      <c r="I108" s="8"/>
      <c r="P108" s="14"/>
    </row>
    <row r="109" spans="1:17" ht="15.75" customHeight="1" x14ac:dyDescent="0.25">
      <c r="C109" s="14"/>
      <c r="D109" s="32"/>
      <c r="E109" s="14"/>
      <c r="F109" s="14"/>
      <c r="G109" s="49"/>
      <c r="H109" s="8"/>
      <c r="I109" s="8"/>
      <c r="P109" s="14"/>
    </row>
    <row r="110" spans="1:17" ht="15.75" customHeight="1" x14ac:dyDescent="0.25">
      <c r="B110" s="22"/>
      <c r="C110" s="14"/>
      <c r="D110" s="32"/>
      <c r="E110" s="14"/>
      <c r="F110" s="14"/>
      <c r="G110" s="49"/>
      <c r="H110" s="8"/>
      <c r="I110" s="8"/>
      <c r="P110" s="14"/>
    </row>
    <row r="111" spans="1:17" ht="15.75" customHeight="1" x14ac:dyDescent="0.25">
      <c r="C111" s="14"/>
      <c r="D111" s="32"/>
      <c r="E111" s="14"/>
      <c r="F111" s="14"/>
      <c r="G111" s="49"/>
      <c r="H111" s="8"/>
      <c r="I111" s="8"/>
      <c r="P111" s="14"/>
    </row>
    <row r="112" spans="1:17" ht="15.75" customHeight="1" x14ac:dyDescent="0.25">
      <c r="C112" s="14"/>
      <c r="D112" s="32"/>
      <c r="E112" s="14"/>
      <c r="F112" s="14"/>
      <c r="G112" s="49"/>
      <c r="H112" s="8"/>
      <c r="I112" s="8"/>
      <c r="P112" s="14"/>
    </row>
    <row r="113" spans="1:16" ht="15.75" customHeight="1" x14ac:dyDescent="0.25">
      <c r="C113" s="14"/>
      <c r="D113" s="32"/>
      <c r="E113" s="14"/>
      <c r="F113" s="14"/>
      <c r="G113" s="49"/>
      <c r="H113" s="8"/>
      <c r="I113" s="8"/>
      <c r="P113" s="14"/>
    </row>
    <row r="114" spans="1:16" ht="15.75" customHeight="1" x14ac:dyDescent="0.25">
      <c r="B114" s="14"/>
      <c r="C114" s="14"/>
      <c r="D114" s="32"/>
      <c r="E114" s="14"/>
      <c r="F114" s="14"/>
      <c r="G114" s="49"/>
      <c r="H114" s="8"/>
      <c r="I114" s="8"/>
      <c r="P114" s="14"/>
    </row>
    <row r="115" spans="1:16" ht="15.75" customHeight="1" x14ac:dyDescent="0.25">
      <c r="B115" s="14"/>
      <c r="C115" s="14"/>
      <c r="D115" s="32"/>
      <c r="E115" s="14"/>
      <c r="F115" s="14"/>
      <c r="G115" s="49"/>
      <c r="H115" s="8"/>
      <c r="I115" s="8"/>
      <c r="P115" s="14"/>
    </row>
    <row r="116" spans="1:16" ht="15.75" customHeight="1" x14ac:dyDescent="0.25">
      <c r="B116" s="14"/>
      <c r="C116" s="14"/>
      <c r="D116" s="32"/>
      <c r="E116" s="14"/>
      <c r="F116" s="14"/>
      <c r="G116" s="49"/>
      <c r="H116" s="8"/>
      <c r="I116" s="8"/>
      <c r="P116" s="14"/>
    </row>
    <row r="117" spans="1:16" ht="15.75" customHeight="1" x14ac:dyDescent="0.25">
      <c r="B117" s="14"/>
      <c r="C117" s="22"/>
      <c r="H117" s="8"/>
      <c r="I117" s="8"/>
    </row>
    <row r="118" spans="1:16" ht="15.75" customHeight="1" x14ac:dyDescent="0.25">
      <c r="B118" s="14"/>
      <c r="E118" s="14"/>
    </row>
    <row r="119" spans="1:16" ht="15.75" customHeight="1" x14ac:dyDescent="0.25">
      <c r="B119" s="14"/>
    </row>
    <row r="120" spans="1:16" ht="15.75" customHeight="1" x14ac:dyDescent="0.25">
      <c r="B120" s="14"/>
      <c r="E120" s="14"/>
    </row>
    <row r="121" spans="1:16" ht="15.75" customHeight="1" x14ac:dyDescent="0.25">
      <c r="B121" s="14"/>
    </row>
    <row r="122" spans="1:16" ht="15.75" customHeight="1" x14ac:dyDescent="0.25">
      <c r="B122" s="14"/>
    </row>
    <row r="123" spans="1:16" ht="15.75" customHeight="1" x14ac:dyDescent="0.25">
      <c r="B123" s="14"/>
      <c r="C123" s="22"/>
    </row>
    <row r="124" spans="1:16" ht="15.75" customHeight="1" x14ac:dyDescent="0.25">
      <c r="B124" s="14"/>
    </row>
    <row r="125" spans="1:16" ht="15.75" customHeight="1" x14ac:dyDescent="0.25">
      <c r="B125" s="14"/>
    </row>
    <row r="126" spans="1:16" ht="15.75" customHeight="1" x14ac:dyDescent="0.25">
      <c r="B126" s="14"/>
    </row>
    <row r="127" spans="1:16" ht="15.75" customHeight="1" x14ac:dyDescent="0.25">
      <c r="B127" s="14"/>
    </row>
    <row r="128" spans="1:16" ht="15.75" customHeight="1" x14ac:dyDescent="0.25">
      <c r="A128" s="22"/>
      <c r="B128" s="14"/>
    </row>
    <row r="129" spans="1:2" ht="15.75" customHeight="1" x14ac:dyDescent="0.25">
      <c r="A129" s="22"/>
      <c r="B129" s="14"/>
    </row>
    <row r="130" spans="1:2" ht="15.75" customHeight="1" x14ac:dyDescent="0.25">
      <c r="A130" s="51"/>
      <c r="B130" s="14"/>
    </row>
    <row r="131" spans="1:2" ht="15.75" customHeight="1" x14ac:dyDescent="0.25">
      <c r="A131" s="51"/>
      <c r="B131" s="14"/>
    </row>
    <row r="132" spans="1:2" ht="15.75" customHeight="1" x14ac:dyDescent="0.25">
      <c r="A132" s="51"/>
      <c r="B132" s="14"/>
    </row>
    <row r="133" spans="1:2" ht="15.75" customHeight="1" x14ac:dyDescent="0.25">
      <c r="A133" s="51"/>
      <c r="B133" s="14"/>
    </row>
    <row r="134" spans="1:2" ht="15.75" customHeight="1" x14ac:dyDescent="0.25">
      <c r="A134" s="51"/>
      <c r="B134" s="14"/>
    </row>
    <row r="135" spans="1:2" ht="15.75" customHeight="1" x14ac:dyDescent="0.25">
      <c r="A135" s="51"/>
      <c r="B135" s="14"/>
    </row>
    <row r="136" spans="1:2" ht="15.75" customHeight="1" x14ac:dyDescent="0.25">
      <c r="A136" s="51"/>
      <c r="B136" s="14"/>
    </row>
    <row r="137" spans="1:2" ht="15.75" customHeight="1" x14ac:dyDescent="0.25">
      <c r="A137" s="51"/>
      <c r="B137" s="14"/>
    </row>
    <row r="138" spans="1:2" ht="15.75" customHeight="1" x14ac:dyDescent="0.25">
      <c r="A138" s="51"/>
      <c r="B138" s="14"/>
    </row>
    <row r="139" spans="1:2" ht="15.75" customHeight="1" x14ac:dyDescent="0.25">
      <c r="A139" s="51"/>
      <c r="B139" s="14"/>
    </row>
    <row r="140" spans="1:2" ht="15.75" customHeight="1" x14ac:dyDescent="0.25">
      <c r="A140" s="51"/>
      <c r="B140" s="14"/>
    </row>
    <row r="141" spans="1:2" ht="15.75" customHeight="1" x14ac:dyDescent="0.25">
      <c r="A141" s="51"/>
      <c r="B141" s="14"/>
    </row>
    <row r="142" spans="1:2" ht="15.75" customHeight="1" x14ac:dyDescent="0.25">
      <c r="A142" s="51"/>
    </row>
    <row r="143" spans="1:2" ht="15.75" customHeight="1" x14ac:dyDescent="0.25">
      <c r="A143" s="51"/>
      <c r="B143" s="14"/>
    </row>
    <row r="144" spans="1:2" ht="15.75" customHeight="1" x14ac:dyDescent="0.25">
      <c r="A144" s="51"/>
    </row>
    <row r="145" spans="1:1" ht="15.75" customHeight="1" x14ac:dyDescent="0.25">
      <c r="A145" s="51"/>
    </row>
    <row r="146" spans="1:1" ht="15.75" customHeight="1" x14ac:dyDescent="0.25"/>
    <row r="147" spans="1:1" ht="15.75" customHeight="1" x14ac:dyDescent="0.25"/>
    <row r="148" spans="1:1" ht="15.75" customHeight="1" x14ac:dyDescent="0.25"/>
    <row r="149" spans="1:1" ht="15.75" customHeight="1" x14ac:dyDescent="0.25"/>
    <row r="150" spans="1:1" ht="15.75" customHeight="1" x14ac:dyDescent="0.25"/>
    <row r="151" spans="1:1" ht="15.75" customHeight="1" x14ac:dyDescent="0.25"/>
    <row r="152" spans="1:1" ht="15.75" customHeight="1" x14ac:dyDescent="0.25"/>
    <row r="153" spans="1:1" ht="15.75" customHeight="1" x14ac:dyDescent="0.25"/>
    <row r="154" spans="1:1" ht="15.75" customHeight="1" x14ac:dyDescent="0.25"/>
    <row r="155" spans="1:1" ht="15.75" customHeight="1" x14ac:dyDescent="0.25"/>
    <row r="156" spans="1:1" ht="15.75" customHeight="1" x14ac:dyDescent="0.25"/>
    <row r="157" spans="1:1" ht="15.75" customHeight="1" x14ac:dyDescent="0.25"/>
    <row r="158" spans="1:1" ht="15.75" customHeight="1" x14ac:dyDescent="0.25"/>
    <row r="159" spans="1:1" ht="15.75" customHeight="1" x14ac:dyDescent="0.25">
      <c r="A159" s="51"/>
    </row>
    <row r="160" spans="1:1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4">
    <mergeCell ref="A9:A10"/>
    <mergeCell ref="B72:C72"/>
    <mergeCell ref="D72:E72"/>
    <mergeCell ref="F78:G78"/>
  </mergeCells>
  <printOptions gridLines="1"/>
  <pageMargins left="0.25" right="0.25" top="0.75" bottom="0.75" header="0" footer="0"/>
  <pageSetup paperSize="5" orientation="landscape"/>
  <rowBreaks count="3" manualBreakCount="3">
    <brk id="34" man="1"/>
    <brk id="71" man="1"/>
    <brk id="110" man="1"/>
  </rowBreaks>
  <colBreaks count="1" manualBreakCount="1">
    <brk id="1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1000"/>
  <sheetViews>
    <sheetView workbookViewId="0"/>
  </sheetViews>
  <sheetFormatPr defaultColWidth="14.42578125" defaultRowHeight="15" customHeight="1" x14ac:dyDescent="0.25"/>
  <cols>
    <col min="1" max="1" width="16.7109375" customWidth="1"/>
    <col min="3" max="3" width="16" customWidth="1"/>
    <col min="4" max="4" width="16.140625" customWidth="1"/>
    <col min="5" max="5" width="16.7109375" customWidth="1"/>
    <col min="6" max="6" width="13.28515625" customWidth="1"/>
    <col min="7" max="7" width="14.5703125" customWidth="1"/>
    <col min="8" max="8" width="11" customWidth="1"/>
    <col min="9" max="14" width="14.140625" customWidth="1"/>
    <col min="15" max="15" width="12.85546875" customWidth="1"/>
    <col min="16" max="16" width="12.5703125" customWidth="1"/>
    <col min="17" max="17" width="8.7109375" customWidth="1"/>
    <col min="18" max="18" width="13.42578125" customWidth="1"/>
    <col min="19" max="31" width="8.7109375" customWidth="1"/>
  </cols>
  <sheetData>
    <row r="1" spans="1:31" x14ac:dyDescent="0.25">
      <c r="A1" s="1" t="s">
        <v>127</v>
      </c>
      <c r="B1" s="1"/>
      <c r="C1" s="1"/>
      <c r="D1" s="1"/>
      <c r="E1" s="1"/>
      <c r="F1" s="1"/>
      <c r="G1" s="1"/>
    </row>
    <row r="2" spans="1:31" x14ac:dyDescent="0.2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ht="26.25" x14ac:dyDescent="0.25">
      <c r="A3" s="6" t="s">
        <v>14</v>
      </c>
      <c r="B3" s="6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G3" s="7" t="s">
        <v>117</v>
      </c>
      <c r="H3" s="7" t="s">
        <v>21</v>
      </c>
      <c r="I3" s="7" t="s">
        <v>22</v>
      </c>
      <c r="J3" s="7" t="s">
        <v>23</v>
      </c>
      <c r="K3" s="7" t="s">
        <v>24</v>
      </c>
      <c r="L3" s="7" t="s">
        <v>25</v>
      </c>
      <c r="M3" s="7" t="s">
        <v>26</v>
      </c>
      <c r="N3" s="7" t="s">
        <v>27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x14ac:dyDescent="0.25">
      <c r="A4" s="8" t="s">
        <v>28</v>
      </c>
      <c r="B4" s="9">
        <v>42871.360000000052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>
        <v>43947.71</v>
      </c>
      <c r="N4" s="10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x14ac:dyDescent="0.25">
      <c r="A5" s="8" t="s">
        <v>78</v>
      </c>
      <c r="B5" s="9">
        <v>2371862.36</v>
      </c>
      <c r="C5" s="12">
        <v>514875.90000000008</v>
      </c>
      <c r="D5" s="12">
        <v>742908.86999999988</v>
      </c>
      <c r="E5" s="12">
        <v>706242.21</v>
      </c>
      <c r="F5" s="12">
        <v>16918.440000000013</v>
      </c>
      <c r="G5" s="10">
        <v>-5288.25</v>
      </c>
      <c r="H5" s="10">
        <v>0</v>
      </c>
      <c r="I5" s="10">
        <v>-617.19999999999709</v>
      </c>
      <c r="J5" s="10">
        <v>252472.84000000003</v>
      </c>
      <c r="K5" s="10">
        <v>40773.909999999996</v>
      </c>
      <c r="L5" s="10">
        <v>83699.87999999999</v>
      </c>
      <c r="M5" s="10"/>
      <c r="N5" s="10">
        <v>19875.759999999998</v>
      </c>
      <c r="O5" s="13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x14ac:dyDescent="0.25">
      <c r="A6" s="8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4"/>
      <c r="AA6" s="5"/>
      <c r="AB6" s="5"/>
    </row>
    <row r="7" spans="1:31" x14ac:dyDescent="0.25">
      <c r="A7" s="1" t="s">
        <v>32</v>
      </c>
      <c r="B7" s="15">
        <f t="shared" ref="B7:N7" si="0">SUM(B4:B6)</f>
        <v>2414733.7199999997</v>
      </c>
      <c r="C7" s="15">
        <f t="shared" si="0"/>
        <v>514875.90000000008</v>
      </c>
      <c r="D7" s="15">
        <f t="shared" si="0"/>
        <v>742908.86999999988</v>
      </c>
      <c r="E7" s="15">
        <f t="shared" si="0"/>
        <v>706242.21</v>
      </c>
      <c r="F7" s="15">
        <f t="shared" si="0"/>
        <v>16918.440000000013</v>
      </c>
      <c r="G7" s="15">
        <f t="shared" si="0"/>
        <v>-5288.25</v>
      </c>
      <c r="H7" s="15">
        <f t="shared" si="0"/>
        <v>0</v>
      </c>
      <c r="I7" s="15">
        <f t="shared" si="0"/>
        <v>-617.19999999999709</v>
      </c>
      <c r="J7" s="15">
        <f t="shared" si="0"/>
        <v>252472.84000000003</v>
      </c>
      <c r="K7" s="15">
        <f t="shared" si="0"/>
        <v>40773.909999999996</v>
      </c>
      <c r="L7" s="15">
        <f t="shared" si="0"/>
        <v>83699.87999999999</v>
      </c>
      <c r="M7" s="15">
        <f t="shared" si="0"/>
        <v>43947.71</v>
      </c>
      <c r="N7" s="15">
        <f t="shared" si="0"/>
        <v>19875.759999999998</v>
      </c>
      <c r="AA7" s="5"/>
      <c r="AB7" s="5"/>
    </row>
    <row r="8" spans="1:31" x14ac:dyDescent="0.25">
      <c r="A8" s="1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4"/>
      <c r="AA8" s="5"/>
      <c r="AB8" s="5"/>
    </row>
    <row r="9" spans="1:31" x14ac:dyDescent="0.25">
      <c r="A9" s="67" t="s">
        <v>33</v>
      </c>
      <c r="B9" s="16"/>
      <c r="C9" s="17" t="s">
        <v>3</v>
      </c>
      <c r="D9" s="17" t="s">
        <v>4</v>
      </c>
      <c r="E9" s="17" t="s">
        <v>5</v>
      </c>
      <c r="F9" s="17" t="s">
        <v>6</v>
      </c>
      <c r="G9" s="17" t="s">
        <v>118</v>
      </c>
      <c r="H9" s="17" t="s">
        <v>35</v>
      </c>
      <c r="I9" s="17" t="s">
        <v>8</v>
      </c>
      <c r="J9" s="17" t="s">
        <v>36</v>
      </c>
      <c r="K9" s="17" t="s">
        <v>37</v>
      </c>
      <c r="L9" s="17" t="s">
        <v>38</v>
      </c>
      <c r="M9" s="17" t="s">
        <v>12</v>
      </c>
      <c r="N9" s="17" t="s">
        <v>13</v>
      </c>
      <c r="AA9" s="5"/>
      <c r="AB9" s="5"/>
    </row>
    <row r="10" spans="1:31" x14ac:dyDescent="0.25">
      <c r="A10" s="68"/>
      <c r="B10" s="16">
        <f>SUM(C10:N10)</f>
        <v>2415810.0699999998</v>
      </c>
      <c r="C10" s="18">
        <f t="shared" ref="C10:N10" si="1">C7</f>
        <v>514875.90000000008</v>
      </c>
      <c r="D10" s="18">
        <f t="shared" si="1"/>
        <v>742908.86999999988</v>
      </c>
      <c r="E10" s="18">
        <f t="shared" si="1"/>
        <v>706242.21</v>
      </c>
      <c r="F10" s="18">
        <f t="shared" si="1"/>
        <v>16918.440000000013</v>
      </c>
      <c r="G10" s="18">
        <f t="shared" si="1"/>
        <v>-5288.25</v>
      </c>
      <c r="H10" s="18">
        <f t="shared" si="1"/>
        <v>0</v>
      </c>
      <c r="I10" s="18">
        <f t="shared" si="1"/>
        <v>-617.19999999999709</v>
      </c>
      <c r="J10" s="18">
        <f t="shared" si="1"/>
        <v>252472.84000000003</v>
      </c>
      <c r="K10" s="18">
        <f t="shared" si="1"/>
        <v>40773.909999999996</v>
      </c>
      <c r="L10" s="18">
        <f t="shared" si="1"/>
        <v>83699.87999999999</v>
      </c>
      <c r="M10" s="18">
        <f t="shared" si="1"/>
        <v>43947.71</v>
      </c>
      <c r="N10" s="18">
        <f t="shared" si="1"/>
        <v>19875.759999999998</v>
      </c>
      <c r="O10" s="14"/>
      <c r="AA10" s="5"/>
      <c r="AB10" s="5"/>
    </row>
    <row r="11" spans="1:31" x14ac:dyDescent="0.25">
      <c r="A11" s="19" t="s">
        <v>39</v>
      </c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AA11" s="5"/>
      <c r="AB11" s="5"/>
    </row>
    <row r="12" spans="1:31" x14ac:dyDescent="0.25">
      <c r="A12" s="21" t="s">
        <v>128</v>
      </c>
      <c r="B12" s="10"/>
      <c r="C12" s="10">
        <v>24217.17</v>
      </c>
      <c r="D12" s="10">
        <v>117780.63</v>
      </c>
      <c r="E12" s="10">
        <v>15450.61</v>
      </c>
      <c r="F12" s="10">
        <v>578.72</v>
      </c>
      <c r="G12" s="10"/>
      <c r="H12" s="10"/>
      <c r="I12" s="10"/>
      <c r="J12" s="10"/>
      <c r="K12" s="10"/>
      <c r="L12" s="10"/>
      <c r="M12" s="10">
        <v>53.82</v>
      </c>
      <c r="N12" s="10"/>
      <c r="O12" s="14"/>
      <c r="AA12" s="5"/>
      <c r="AB12" s="5"/>
    </row>
    <row r="13" spans="1:31" x14ac:dyDescent="0.25">
      <c r="A13" s="20" t="s">
        <v>41</v>
      </c>
      <c r="B13" s="10"/>
      <c r="C13" s="10"/>
      <c r="D13" s="10"/>
      <c r="E13" s="10"/>
      <c r="F13" s="10"/>
      <c r="AA13" s="5"/>
      <c r="AB13" s="5"/>
    </row>
    <row r="14" spans="1:31" x14ac:dyDescent="0.25">
      <c r="A14" s="21" t="s">
        <v>42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4"/>
      <c r="AA14" s="5"/>
      <c r="AB14" s="5"/>
    </row>
    <row r="15" spans="1:31" x14ac:dyDescent="0.25">
      <c r="A15" s="21" t="s">
        <v>45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AA15" s="5"/>
      <c r="AB15" s="5"/>
    </row>
    <row r="16" spans="1:31" x14ac:dyDescent="0.25">
      <c r="A16" s="21" t="s">
        <v>46</v>
      </c>
      <c r="B16" s="10"/>
      <c r="C16" s="10"/>
      <c r="D16" s="10"/>
      <c r="E16" s="10"/>
      <c r="G16" s="10"/>
      <c r="H16" s="10"/>
      <c r="I16" s="10"/>
      <c r="J16" s="10"/>
      <c r="K16" s="10"/>
      <c r="L16" s="10"/>
      <c r="M16" s="10"/>
      <c r="N16" s="10"/>
      <c r="AA16" s="5"/>
      <c r="AB16" s="5"/>
    </row>
    <row r="17" spans="1:29" ht="15.75" customHeight="1" x14ac:dyDescent="0.25">
      <c r="A17" s="21" t="s">
        <v>47</v>
      </c>
      <c r="B17" s="10"/>
      <c r="C17" s="10"/>
      <c r="D17" s="10"/>
      <c r="E17" s="10"/>
      <c r="F17" s="10"/>
      <c r="H17" s="24"/>
      <c r="I17" s="24"/>
      <c r="J17" s="10"/>
      <c r="K17" s="10"/>
      <c r="L17" s="10"/>
      <c r="M17" s="10"/>
      <c r="N17" s="10"/>
      <c r="O17" s="25"/>
      <c r="P17" s="25"/>
      <c r="Q17" s="25"/>
      <c r="AA17" s="5"/>
      <c r="AB17" s="5"/>
    </row>
    <row r="18" spans="1:29" ht="15.75" customHeight="1" x14ac:dyDescent="0.25">
      <c r="A18" s="1" t="s">
        <v>48</v>
      </c>
      <c r="B18" s="26">
        <f t="shared" ref="B18:B20" si="2">SUM(C18:N18)</f>
        <v>158080.94999999998</v>
      </c>
      <c r="C18" s="9">
        <f t="shared" ref="C18:N18" si="3">SUM(C12:C17)</f>
        <v>24217.17</v>
      </c>
      <c r="D18" s="9">
        <f t="shared" si="3"/>
        <v>117780.63</v>
      </c>
      <c r="E18" s="9">
        <f t="shared" si="3"/>
        <v>15450.61</v>
      </c>
      <c r="F18" s="9">
        <f t="shared" si="3"/>
        <v>578.72</v>
      </c>
      <c r="G18" s="9">
        <f t="shared" si="3"/>
        <v>0</v>
      </c>
      <c r="H18" s="9">
        <f t="shared" si="3"/>
        <v>0</v>
      </c>
      <c r="I18" s="9">
        <f t="shared" si="3"/>
        <v>0</v>
      </c>
      <c r="J18" s="9">
        <f t="shared" si="3"/>
        <v>0</v>
      </c>
      <c r="K18" s="9">
        <f t="shared" si="3"/>
        <v>0</v>
      </c>
      <c r="L18" s="9">
        <f t="shared" si="3"/>
        <v>0</v>
      </c>
      <c r="M18" s="9">
        <f t="shared" si="3"/>
        <v>53.82</v>
      </c>
      <c r="N18" s="9">
        <f t="shared" si="3"/>
        <v>0</v>
      </c>
      <c r="O18" s="10"/>
      <c r="P18" s="10"/>
      <c r="Q18" s="10"/>
      <c r="AA18" s="5"/>
      <c r="AB18" s="5"/>
    </row>
    <row r="19" spans="1:29" ht="15.75" customHeight="1" x14ac:dyDescent="0.25">
      <c r="A19" s="1" t="s">
        <v>49</v>
      </c>
      <c r="B19" s="26">
        <f t="shared" si="2"/>
        <v>6791.5800000000008</v>
      </c>
      <c r="C19" s="10">
        <v>1462.88</v>
      </c>
      <c r="D19" s="10">
        <v>2124.7800000000002</v>
      </c>
      <c r="E19" s="10">
        <v>2020.59</v>
      </c>
      <c r="F19" s="10">
        <v>48.39</v>
      </c>
      <c r="G19" s="21"/>
      <c r="H19" s="21"/>
      <c r="I19" s="21"/>
      <c r="J19" s="21">
        <v>722.09</v>
      </c>
      <c r="K19" s="21">
        <v>173.46</v>
      </c>
      <c r="L19" s="21">
        <v>239.39</v>
      </c>
      <c r="M19" s="21"/>
      <c r="N19" s="21"/>
      <c r="O19" s="10"/>
      <c r="P19" s="10"/>
      <c r="Q19" s="10"/>
      <c r="AA19" s="5"/>
      <c r="AB19" s="5"/>
    </row>
    <row r="20" spans="1:29" ht="15.75" customHeight="1" x14ac:dyDescent="0.25">
      <c r="A20" s="1" t="s">
        <v>50</v>
      </c>
      <c r="B20" s="26">
        <f t="shared" si="2"/>
        <v>125395.35</v>
      </c>
      <c r="C20" s="10">
        <v>15257.6</v>
      </c>
      <c r="D20" s="10">
        <v>1300.08</v>
      </c>
      <c r="E20" s="10">
        <v>5487.42</v>
      </c>
      <c r="F20" s="10">
        <v>103350.25</v>
      </c>
      <c r="G20" s="10"/>
      <c r="H20" s="10"/>
      <c r="I20" s="10"/>
      <c r="J20" s="10"/>
      <c r="K20" s="10"/>
      <c r="L20" s="10"/>
      <c r="M20" s="10"/>
      <c r="N20" s="10"/>
      <c r="O20" s="14"/>
      <c r="P20" s="14"/>
      <c r="Q20" s="14"/>
      <c r="R20" s="14"/>
      <c r="AA20" s="5"/>
      <c r="AB20" s="5"/>
    </row>
    <row r="21" spans="1:29" ht="15.75" customHeight="1" x14ac:dyDescent="0.25">
      <c r="A21" s="1" t="s">
        <v>114</v>
      </c>
      <c r="B21" s="9">
        <f>C21+D21+E21+F21+I21</f>
        <v>19.12</v>
      </c>
      <c r="C21" s="10">
        <v>19.12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4"/>
      <c r="P21" s="14"/>
      <c r="Q21" s="14"/>
      <c r="R21" s="14"/>
      <c r="AA21" s="5"/>
      <c r="AB21" s="5"/>
    </row>
    <row r="22" spans="1:29" ht="15.75" customHeight="1" x14ac:dyDescent="0.25">
      <c r="A22" s="1" t="s">
        <v>46</v>
      </c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  <c r="P22" s="14"/>
      <c r="Q22" s="14"/>
      <c r="R22" s="14"/>
      <c r="AA22" s="5"/>
      <c r="AB22" s="5"/>
    </row>
    <row r="23" spans="1:29" ht="15.75" customHeight="1" x14ac:dyDescent="0.25">
      <c r="A23" s="1" t="s">
        <v>52</v>
      </c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R23" s="14"/>
      <c r="AA23" s="5"/>
    </row>
    <row r="24" spans="1:29" ht="15.75" customHeight="1" x14ac:dyDescent="0.25">
      <c r="A24" s="1" t="s">
        <v>53</v>
      </c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R24" s="14"/>
      <c r="AA24" s="5"/>
    </row>
    <row r="25" spans="1:29" ht="15.75" customHeight="1" x14ac:dyDescent="0.25">
      <c r="A25" s="1" t="s">
        <v>54</v>
      </c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R25" s="14"/>
      <c r="AA25" s="5"/>
    </row>
    <row r="26" spans="1:29" ht="15.75" customHeight="1" x14ac:dyDescent="0.25">
      <c r="A26" s="1" t="s">
        <v>47</v>
      </c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R26" s="14"/>
      <c r="AC26" s="27"/>
    </row>
    <row r="27" spans="1:29" ht="15.75" customHeight="1" x14ac:dyDescent="0.25">
      <c r="A27" s="1" t="s">
        <v>55</v>
      </c>
      <c r="B27" s="26">
        <f>SUM(C27:N27)</f>
        <v>125414.47</v>
      </c>
      <c r="C27" s="10">
        <f t="shared" ref="C27:N27" si="4">SUM(C20:C26)</f>
        <v>15276.720000000001</v>
      </c>
      <c r="D27" s="10">
        <f t="shared" si="4"/>
        <v>1300.08</v>
      </c>
      <c r="E27" s="10">
        <f t="shared" si="4"/>
        <v>5487.42</v>
      </c>
      <c r="F27" s="10">
        <f t="shared" si="4"/>
        <v>103350.25</v>
      </c>
      <c r="G27" s="10">
        <f t="shared" si="4"/>
        <v>0</v>
      </c>
      <c r="H27" s="10">
        <f t="shared" si="4"/>
        <v>0</v>
      </c>
      <c r="I27" s="10">
        <f t="shared" si="4"/>
        <v>0</v>
      </c>
      <c r="J27" s="10">
        <f t="shared" si="4"/>
        <v>0</v>
      </c>
      <c r="K27" s="10">
        <f t="shared" si="4"/>
        <v>0</v>
      </c>
      <c r="L27" s="10">
        <f t="shared" si="4"/>
        <v>0</v>
      </c>
      <c r="M27" s="10">
        <f t="shared" si="4"/>
        <v>0</v>
      </c>
      <c r="N27" s="10">
        <f t="shared" si="4"/>
        <v>0</v>
      </c>
      <c r="R27" s="14"/>
    </row>
    <row r="28" spans="1:29" ht="15.75" customHeight="1" x14ac:dyDescent="0.25">
      <c r="A28" s="1" t="s">
        <v>56</v>
      </c>
      <c r="B28" s="26">
        <f>C28+E28+D28+F28</f>
        <v>17468.48</v>
      </c>
      <c r="C28" s="10">
        <v>6416.25</v>
      </c>
      <c r="D28" s="10">
        <v>853.2</v>
      </c>
      <c r="E28" s="10">
        <v>656.76</v>
      </c>
      <c r="F28" s="10">
        <v>9542.27</v>
      </c>
      <c r="H28" s="25"/>
      <c r="I28" s="25"/>
      <c r="J28" s="25"/>
      <c r="K28" s="25"/>
      <c r="L28" s="25"/>
      <c r="M28" s="25"/>
      <c r="N28" s="25"/>
    </row>
    <row r="29" spans="1:29" ht="15.75" customHeight="1" x14ac:dyDescent="0.25">
      <c r="A29" s="1" t="s">
        <v>56</v>
      </c>
      <c r="B29" s="26">
        <f t="shared" ref="B29:B31" si="5">SUM(C29:G29)</f>
        <v>28648.550000000003</v>
      </c>
      <c r="C29" s="10">
        <v>17611.13</v>
      </c>
      <c r="D29" s="10">
        <v>1232.27</v>
      </c>
      <c r="E29" s="10">
        <v>667.16</v>
      </c>
      <c r="F29" s="10">
        <v>9137.99</v>
      </c>
    </row>
    <row r="30" spans="1:29" ht="15.75" customHeight="1" x14ac:dyDescent="0.25">
      <c r="A30" s="1" t="s">
        <v>56</v>
      </c>
      <c r="B30" s="26">
        <f t="shared" si="5"/>
        <v>17355.63</v>
      </c>
      <c r="C30" s="10">
        <v>6416.25</v>
      </c>
      <c r="D30" s="10">
        <v>853.2</v>
      </c>
      <c r="E30" s="10">
        <v>1188.75</v>
      </c>
      <c r="F30" s="10">
        <v>8897.43</v>
      </c>
    </row>
    <row r="31" spans="1:29" ht="15.75" customHeight="1" x14ac:dyDescent="0.25">
      <c r="A31" s="1" t="s">
        <v>56</v>
      </c>
      <c r="B31" s="26">
        <f t="shared" si="5"/>
        <v>0</v>
      </c>
      <c r="C31" s="10"/>
      <c r="D31" s="10"/>
      <c r="E31" s="10"/>
    </row>
    <row r="32" spans="1:29" ht="15.75" customHeight="1" x14ac:dyDescent="0.25">
      <c r="A32" s="1" t="s">
        <v>57</v>
      </c>
      <c r="B32" s="15">
        <f t="shared" ref="B32:B33" si="6">SUM(C32:N32)</f>
        <v>2392073.37</v>
      </c>
      <c r="C32" s="12">
        <f t="shared" ref="C32:E32" si="7">C10+C18+C19-C29-C27-C28-C30-C31</f>
        <v>494835.60000000009</v>
      </c>
      <c r="D32" s="12">
        <f t="shared" si="7"/>
        <v>858575.53</v>
      </c>
      <c r="E32" s="12">
        <f t="shared" si="7"/>
        <v>715713.31999999983</v>
      </c>
      <c r="F32" s="12">
        <f>F10+F18+F19-F27-F28-F29-F30</f>
        <v>-113382.38999999998</v>
      </c>
      <c r="G32" s="12">
        <f t="shared" ref="G32:L32" si="8">G10+G18+G19-G29-G27-G28-G30</f>
        <v>-5288.25</v>
      </c>
      <c r="H32" s="12">
        <f t="shared" si="8"/>
        <v>0</v>
      </c>
      <c r="I32" s="12">
        <f t="shared" si="8"/>
        <v>-617.19999999999709</v>
      </c>
      <c r="J32" s="12">
        <f t="shared" si="8"/>
        <v>253194.93000000002</v>
      </c>
      <c r="K32" s="12">
        <f t="shared" si="8"/>
        <v>40947.369999999995</v>
      </c>
      <c r="L32" s="12">
        <f t="shared" si="8"/>
        <v>83939.26999999999</v>
      </c>
      <c r="M32" s="12">
        <f>B55-M27</f>
        <v>44279.43</v>
      </c>
      <c r="N32" s="12">
        <f>N10+N18+N19-N29-N27-N28-N30</f>
        <v>19875.759999999998</v>
      </c>
    </row>
    <row r="33" spans="1:15" ht="15.75" customHeight="1" x14ac:dyDescent="0.25">
      <c r="A33" s="1" t="s">
        <v>129</v>
      </c>
      <c r="B33" s="9">
        <f t="shared" si="6"/>
        <v>2390018.63</v>
      </c>
      <c r="C33" s="12">
        <f>120694.38+9091.86+379267.6</f>
        <v>509053.83999999997</v>
      </c>
      <c r="D33" s="12">
        <f>526461.07+184435.27+148911.46</f>
        <v>859807.79999999993</v>
      </c>
      <c r="E33" s="12">
        <f>144947.7+28592.54+543079.3</f>
        <v>716619.54</v>
      </c>
      <c r="F33" s="12">
        <f>55599.09-159843.49</f>
        <v>-104244.4</v>
      </c>
      <c r="G33" s="12">
        <v>-5288.25</v>
      </c>
      <c r="H33" s="12">
        <v>0</v>
      </c>
      <c r="I33" s="12">
        <f>1336.22-1953.41</f>
        <v>-617.19000000000005</v>
      </c>
      <c r="J33" s="12">
        <f>249535.26+3659.67</f>
        <v>253194.93000000002</v>
      </c>
      <c r="K33" s="12">
        <f>45926.74+9364.38-14343.75</f>
        <v>40947.369999999995</v>
      </c>
      <c r="L33" s="12">
        <f>3498.18+96905.58-16464.49</f>
        <v>83939.26999999999</v>
      </c>
      <c r="M33" s="12">
        <v>16729.96</v>
      </c>
      <c r="N33" s="12">
        <v>19875.759999999998</v>
      </c>
    </row>
    <row r="34" spans="1:15" ht="15.75" customHeight="1" x14ac:dyDescent="0.25">
      <c r="A34" s="1" t="s">
        <v>59</v>
      </c>
      <c r="B34" s="9">
        <f t="shared" ref="B34:N34" si="9">B33-B32</f>
        <v>-2054.7400000002235</v>
      </c>
      <c r="C34" s="9">
        <f t="shared" si="9"/>
        <v>14218.239999999874</v>
      </c>
      <c r="D34" s="9">
        <f t="shared" si="9"/>
        <v>1232.2699999999022</v>
      </c>
      <c r="E34" s="9">
        <f t="shared" si="9"/>
        <v>906.22000000020489</v>
      </c>
      <c r="F34" s="9">
        <f t="shared" si="9"/>
        <v>9137.9899999999907</v>
      </c>
      <c r="G34" s="9">
        <f t="shared" si="9"/>
        <v>0</v>
      </c>
      <c r="H34" s="9">
        <f t="shared" si="9"/>
        <v>0</v>
      </c>
      <c r="I34" s="9">
        <f t="shared" si="9"/>
        <v>9.9999999970350473E-3</v>
      </c>
      <c r="J34" s="9">
        <f t="shared" si="9"/>
        <v>0</v>
      </c>
      <c r="K34" s="9">
        <f t="shared" si="9"/>
        <v>0</v>
      </c>
      <c r="L34" s="9">
        <f t="shared" si="9"/>
        <v>0</v>
      </c>
      <c r="M34" s="9">
        <f t="shared" si="9"/>
        <v>-27549.47</v>
      </c>
      <c r="N34" s="9">
        <f t="shared" si="9"/>
        <v>0</v>
      </c>
      <c r="O34" s="12"/>
    </row>
    <row r="35" spans="1:15" ht="15.75" customHeight="1" x14ac:dyDescent="0.25">
      <c r="A35" s="28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5" ht="15.75" customHeight="1" x14ac:dyDescent="0.25">
      <c r="A36" s="29" t="s">
        <v>61</v>
      </c>
      <c r="B36" s="16">
        <f>M7</f>
        <v>43947.71</v>
      </c>
      <c r="C36" s="17" t="s">
        <v>3</v>
      </c>
      <c r="D36" s="17" t="s">
        <v>4</v>
      </c>
      <c r="E36" s="17" t="s">
        <v>5</v>
      </c>
      <c r="F36" s="17" t="s">
        <v>6</v>
      </c>
      <c r="G36" s="17" t="s">
        <v>118</v>
      </c>
      <c r="H36" s="17" t="s">
        <v>35</v>
      </c>
      <c r="I36" s="17" t="s">
        <v>8</v>
      </c>
      <c r="J36" s="17" t="s">
        <v>36</v>
      </c>
      <c r="K36" s="17" t="s">
        <v>37</v>
      </c>
      <c r="L36" s="17" t="s">
        <v>38</v>
      </c>
      <c r="M36" s="17" t="s">
        <v>12</v>
      </c>
      <c r="N36" s="17" t="s">
        <v>13</v>
      </c>
    </row>
    <row r="37" spans="1:15" ht="15.75" customHeight="1" x14ac:dyDescent="0.25">
      <c r="A37" s="19" t="s">
        <v>62</v>
      </c>
      <c r="B37" s="10">
        <f t="shared" ref="B37:B40" si="10">C37+E37+D37+F37</f>
        <v>17468.48</v>
      </c>
      <c r="C37" s="10">
        <v>6416.25</v>
      </c>
      <c r="D37" s="10">
        <v>853.2</v>
      </c>
      <c r="E37" s="10">
        <v>656.76</v>
      </c>
      <c r="F37" s="10">
        <v>9542.27</v>
      </c>
      <c r="H37" s="25"/>
      <c r="I37" s="25"/>
      <c r="J37" s="25"/>
      <c r="K37" s="25"/>
      <c r="L37" s="25"/>
      <c r="M37" s="25"/>
      <c r="N37" s="25"/>
    </row>
    <row r="38" spans="1:15" ht="15.75" customHeight="1" x14ac:dyDescent="0.25">
      <c r="A38" s="10"/>
      <c r="B38" s="10">
        <f t="shared" si="10"/>
        <v>28648.550000000003</v>
      </c>
      <c r="C38" s="10">
        <v>17611.13</v>
      </c>
      <c r="D38" s="10">
        <v>1232.27</v>
      </c>
      <c r="E38" s="10">
        <v>667.16</v>
      </c>
      <c r="F38" s="10">
        <v>9137.99</v>
      </c>
      <c r="H38" s="25"/>
      <c r="I38" s="25"/>
      <c r="J38" s="25"/>
      <c r="K38" s="25"/>
      <c r="L38" s="25"/>
      <c r="M38" s="25"/>
      <c r="N38" s="25"/>
    </row>
    <row r="39" spans="1:15" ht="15.75" customHeight="1" x14ac:dyDescent="0.25">
      <c r="A39" s="21"/>
      <c r="B39" s="10">
        <f t="shared" si="10"/>
        <v>17355.63</v>
      </c>
      <c r="C39" s="10">
        <v>6416.25</v>
      </c>
      <c r="D39" s="10">
        <v>853.2</v>
      </c>
      <c r="E39" s="10">
        <v>1188.75</v>
      </c>
      <c r="F39" s="10">
        <v>8897.43</v>
      </c>
      <c r="H39" s="25"/>
      <c r="I39" s="25"/>
      <c r="J39" s="25"/>
      <c r="K39" s="25"/>
      <c r="L39" s="25"/>
      <c r="M39" s="25"/>
      <c r="N39" s="25"/>
    </row>
    <row r="40" spans="1:15" ht="15.75" customHeight="1" x14ac:dyDescent="0.25">
      <c r="A40" s="21"/>
      <c r="B40" s="10">
        <f t="shared" si="10"/>
        <v>0</v>
      </c>
      <c r="C40" s="10"/>
      <c r="D40" s="10"/>
      <c r="E40" s="10"/>
      <c r="F40" s="10"/>
      <c r="H40" s="21"/>
      <c r="I40" s="21"/>
      <c r="J40" s="21"/>
      <c r="K40" s="21"/>
      <c r="L40" s="21"/>
      <c r="M40" s="21"/>
      <c r="N40" s="21"/>
    </row>
    <row r="41" spans="1:15" ht="15.75" customHeight="1" x14ac:dyDescent="0.25">
      <c r="A41" s="21"/>
      <c r="B41" s="10">
        <f>C41+D41+E41</f>
        <v>0</v>
      </c>
      <c r="C41" s="10"/>
      <c r="D41" s="10"/>
      <c r="E41" s="10"/>
      <c r="F41" s="10"/>
      <c r="H41" s="21"/>
      <c r="I41" s="21"/>
      <c r="J41" s="21"/>
      <c r="K41" s="21"/>
      <c r="L41" s="21"/>
      <c r="M41" s="21"/>
      <c r="N41" s="21"/>
    </row>
    <row r="42" spans="1:15" ht="15.75" customHeight="1" x14ac:dyDescent="0.25">
      <c r="A42" s="1" t="s">
        <v>63</v>
      </c>
      <c r="B42" s="26">
        <f t="shared" ref="B42:B43" si="11">M42</f>
        <v>63472.66</v>
      </c>
      <c r="C42" s="10">
        <f t="shared" ref="C42:L42" si="12">SUM(C37:C41)</f>
        <v>30443.63</v>
      </c>
      <c r="D42" s="10">
        <f t="shared" si="12"/>
        <v>2938.67</v>
      </c>
      <c r="E42" s="10">
        <f t="shared" si="12"/>
        <v>2512.67</v>
      </c>
      <c r="F42" s="10">
        <f t="shared" si="12"/>
        <v>27577.690000000002</v>
      </c>
      <c r="G42" s="10">
        <f t="shared" si="12"/>
        <v>0</v>
      </c>
      <c r="H42" s="10">
        <f t="shared" si="12"/>
        <v>0</v>
      </c>
      <c r="I42" s="10">
        <f t="shared" si="12"/>
        <v>0</v>
      </c>
      <c r="J42" s="10">
        <f t="shared" si="12"/>
        <v>0</v>
      </c>
      <c r="K42" s="10">
        <f t="shared" si="12"/>
        <v>0</v>
      </c>
      <c r="L42" s="10">
        <f t="shared" si="12"/>
        <v>0</v>
      </c>
      <c r="M42" s="26">
        <f>SUM(C42:L42)</f>
        <v>63472.66</v>
      </c>
      <c r="N42" s="9"/>
    </row>
    <row r="43" spans="1:15" ht="15.75" customHeight="1" x14ac:dyDescent="0.25">
      <c r="A43" s="1" t="s">
        <v>49</v>
      </c>
      <c r="B43" s="26">
        <f t="shared" si="11"/>
        <v>0</v>
      </c>
      <c r="D43" s="10"/>
      <c r="E43" s="10"/>
      <c r="F43" s="10"/>
      <c r="H43" s="9"/>
      <c r="I43" s="9"/>
      <c r="J43" s="9"/>
      <c r="K43" s="9"/>
      <c r="L43" s="9"/>
      <c r="M43" s="26"/>
      <c r="N43" s="9"/>
    </row>
    <row r="44" spans="1:15" ht="15.75" customHeight="1" x14ac:dyDescent="0.25">
      <c r="A44" s="1" t="s">
        <v>64</v>
      </c>
      <c r="B44" s="9"/>
      <c r="C44" s="10"/>
      <c r="D44" s="10"/>
      <c r="E44" s="10"/>
      <c r="F44" s="10"/>
      <c r="H44" s="10"/>
      <c r="I44" s="10"/>
      <c r="J44" s="10"/>
      <c r="K44" s="10"/>
      <c r="L44" s="10"/>
      <c r="M44" s="10"/>
      <c r="N44" s="10"/>
    </row>
    <row r="45" spans="1:15" ht="15.75" customHeight="1" x14ac:dyDescent="0.25">
      <c r="A45" s="21" t="s">
        <v>65</v>
      </c>
      <c r="C45" s="10"/>
      <c r="D45" s="10"/>
      <c r="E45" s="10"/>
      <c r="F45" s="10"/>
      <c r="H45" s="10"/>
      <c r="I45" s="10"/>
      <c r="J45" s="10"/>
      <c r="K45" s="10"/>
      <c r="L45" s="10"/>
      <c r="M45" s="10">
        <v>41748</v>
      </c>
      <c r="N45" s="10"/>
      <c r="O45" s="10"/>
    </row>
    <row r="46" spans="1:15" ht="15.75" customHeight="1" x14ac:dyDescent="0.25">
      <c r="A46" s="21" t="s">
        <v>66</v>
      </c>
      <c r="C46" s="10"/>
      <c r="D46" s="10"/>
      <c r="E46" s="10"/>
      <c r="F46" s="10"/>
      <c r="H46" s="10"/>
      <c r="I46" s="10"/>
      <c r="J46" s="10"/>
      <c r="K46" s="10"/>
      <c r="L46" s="10"/>
      <c r="M46" s="10">
        <v>1641.88</v>
      </c>
      <c r="N46" s="10"/>
    </row>
    <row r="47" spans="1:15" ht="15.75" customHeight="1" x14ac:dyDescent="0.25">
      <c r="A47" s="21" t="s">
        <v>67</v>
      </c>
      <c r="C47" s="10"/>
      <c r="D47" s="10"/>
      <c r="E47" s="10"/>
      <c r="F47" s="10"/>
      <c r="H47" s="10"/>
      <c r="I47" s="10"/>
      <c r="J47" s="10"/>
      <c r="K47" s="10"/>
      <c r="L47" s="10"/>
      <c r="M47" s="10">
        <v>13500.19</v>
      </c>
      <c r="N47" s="10"/>
    </row>
    <row r="48" spans="1:15" ht="15.75" customHeight="1" x14ac:dyDescent="0.25">
      <c r="A48" s="21" t="s">
        <v>68</v>
      </c>
      <c r="B48" s="10"/>
      <c r="C48" s="10"/>
      <c r="D48" s="10"/>
      <c r="E48" s="10"/>
      <c r="F48" s="10"/>
      <c r="H48" s="10"/>
      <c r="I48" s="10"/>
      <c r="J48" s="10"/>
      <c r="K48" s="10"/>
      <c r="L48" s="10"/>
      <c r="M48" s="10">
        <v>2081.19</v>
      </c>
      <c r="N48" s="10"/>
    </row>
    <row r="49" spans="1:14" ht="15.75" customHeight="1" x14ac:dyDescent="0.25">
      <c r="A49" s="21" t="s">
        <v>69</v>
      </c>
      <c r="B49" s="10"/>
      <c r="C49" s="10"/>
      <c r="D49" s="10"/>
      <c r="E49" s="10"/>
      <c r="F49" s="10"/>
      <c r="H49" s="10"/>
      <c r="I49" s="10"/>
      <c r="J49" s="10"/>
      <c r="K49" s="10"/>
      <c r="L49" s="10"/>
      <c r="M49" s="10">
        <v>248</v>
      </c>
      <c r="N49" s="10"/>
    </row>
    <row r="50" spans="1:14" ht="15.75" customHeight="1" x14ac:dyDescent="0.25">
      <c r="A50" s="21" t="s">
        <v>70</v>
      </c>
      <c r="B50" s="10"/>
      <c r="C50" s="10"/>
      <c r="D50" s="10"/>
      <c r="E50" s="10"/>
      <c r="F50" s="10"/>
      <c r="H50" s="10"/>
      <c r="I50" s="10"/>
      <c r="J50" s="10"/>
      <c r="K50" s="10"/>
      <c r="L50" s="10"/>
      <c r="M50" s="10">
        <v>1236.8399999999999</v>
      </c>
      <c r="N50" s="10"/>
    </row>
    <row r="51" spans="1:14" ht="15.75" customHeight="1" x14ac:dyDescent="0.25">
      <c r="A51" s="21" t="s">
        <v>71</v>
      </c>
      <c r="B51" s="10"/>
      <c r="C51" s="10"/>
      <c r="D51" s="10"/>
      <c r="E51" s="10"/>
      <c r="F51" s="10"/>
      <c r="H51" s="10"/>
      <c r="I51" s="10"/>
      <c r="J51" s="10"/>
      <c r="K51" s="10"/>
      <c r="L51" s="10"/>
      <c r="M51" s="10">
        <v>1356.92</v>
      </c>
      <c r="N51" s="10"/>
    </row>
    <row r="52" spans="1:14" ht="15.75" customHeight="1" x14ac:dyDescent="0.25">
      <c r="A52" s="21" t="s">
        <v>72</v>
      </c>
      <c r="B52" s="10"/>
      <c r="C52" s="10"/>
      <c r="D52" s="10"/>
      <c r="E52" s="10"/>
      <c r="F52" s="10"/>
      <c r="H52" s="10"/>
      <c r="I52" s="10"/>
      <c r="J52" s="10"/>
      <c r="K52" s="10"/>
      <c r="L52" s="10"/>
      <c r="M52" s="10">
        <f>1154.61+227.13</f>
        <v>1381.7399999999998</v>
      </c>
      <c r="N52" s="10"/>
    </row>
    <row r="53" spans="1:14" ht="15.75" customHeight="1" x14ac:dyDescent="0.25">
      <c r="A53" s="21" t="s">
        <v>73</v>
      </c>
      <c r="B53" s="10"/>
      <c r="C53" s="10"/>
      <c r="D53" s="10"/>
      <c r="E53" s="10"/>
      <c r="F53" s="10"/>
      <c r="H53" s="10"/>
      <c r="I53" s="10"/>
      <c r="J53" s="10"/>
      <c r="K53" s="10"/>
      <c r="L53" s="10"/>
      <c r="M53" s="10">
        <v>-53.82</v>
      </c>
      <c r="N53" s="10"/>
    </row>
    <row r="54" spans="1:14" ht="15.75" customHeight="1" x14ac:dyDescent="0.25">
      <c r="A54" s="1" t="s">
        <v>74</v>
      </c>
      <c r="B54" s="26">
        <f>SUM(C54:M54)</f>
        <v>63140.939999999995</v>
      </c>
      <c r="C54" s="10"/>
      <c r="D54" s="10"/>
      <c r="E54" s="10"/>
      <c r="F54" s="10"/>
      <c r="H54" s="9"/>
      <c r="I54" s="9"/>
      <c r="J54" s="9"/>
      <c r="K54" s="9"/>
      <c r="L54" s="9"/>
      <c r="M54" s="26">
        <f>SUM(M45:M53)</f>
        <v>63140.939999999995</v>
      </c>
      <c r="N54" s="9"/>
    </row>
    <row r="55" spans="1:14" ht="15.75" customHeight="1" x14ac:dyDescent="0.25">
      <c r="A55" s="1" t="s">
        <v>57</v>
      </c>
      <c r="B55" s="15">
        <f>B36+B42+B43-B54</f>
        <v>44279.43</v>
      </c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14" ht="15.75" customHeight="1" x14ac:dyDescent="0.25">
      <c r="A56" s="1"/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ht="15.75" customHeight="1" x14ac:dyDescent="0.25">
      <c r="A57" s="2" t="s">
        <v>75</v>
      </c>
      <c r="B57" s="3" t="s">
        <v>2</v>
      </c>
      <c r="C57" s="4" t="s">
        <v>3</v>
      </c>
      <c r="D57" s="4" t="s">
        <v>4</v>
      </c>
      <c r="E57" s="4" t="s">
        <v>5</v>
      </c>
      <c r="F57" s="4" t="s">
        <v>6</v>
      </c>
      <c r="G57" s="4" t="s">
        <v>7</v>
      </c>
      <c r="H57" s="4" t="s">
        <v>7</v>
      </c>
      <c r="I57" s="4" t="s">
        <v>8</v>
      </c>
      <c r="J57" s="4" t="s">
        <v>9</v>
      </c>
      <c r="K57" s="4" t="s">
        <v>9</v>
      </c>
      <c r="L57" s="4" t="s">
        <v>9</v>
      </c>
      <c r="M57" s="4" t="s">
        <v>12</v>
      </c>
      <c r="N57" s="4" t="s">
        <v>13</v>
      </c>
    </row>
    <row r="58" spans="1:14" ht="15.75" customHeight="1" x14ac:dyDescent="0.25">
      <c r="A58" s="6" t="s">
        <v>14</v>
      </c>
      <c r="B58" s="6" t="s">
        <v>76</v>
      </c>
      <c r="C58" s="7" t="s">
        <v>16</v>
      </c>
      <c r="D58" s="7" t="s">
        <v>17</v>
      </c>
      <c r="E58" s="7" t="s">
        <v>18</v>
      </c>
      <c r="F58" s="7" t="s">
        <v>19</v>
      </c>
      <c r="G58" s="7" t="s">
        <v>117</v>
      </c>
      <c r="H58" s="7" t="s">
        <v>21</v>
      </c>
      <c r="I58" s="7" t="s">
        <v>22</v>
      </c>
      <c r="J58" s="7" t="s">
        <v>77</v>
      </c>
      <c r="K58" s="7" t="s">
        <v>24</v>
      </c>
      <c r="L58" s="7" t="s">
        <v>25</v>
      </c>
      <c r="M58" s="7" t="s">
        <v>26</v>
      </c>
      <c r="N58" s="7" t="s">
        <v>27</v>
      </c>
    </row>
    <row r="59" spans="1:14" ht="15.75" customHeight="1" x14ac:dyDescent="0.25">
      <c r="A59" s="8" t="s">
        <v>28</v>
      </c>
      <c r="B59" s="9">
        <f t="shared" ref="B59:B60" si="13">SUM(C59:N59)</f>
        <v>44279.43</v>
      </c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>
        <f>B55</f>
        <v>44279.43</v>
      </c>
      <c r="N59" s="10"/>
    </row>
    <row r="60" spans="1:14" ht="15.75" customHeight="1" x14ac:dyDescent="0.25">
      <c r="A60" s="8" t="s">
        <v>78</v>
      </c>
      <c r="B60" s="9">
        <f t="shared" si="13"/>
        <v>2347793.94</v>
      </c>
      <c r="C60" s="12">
        <f t="shared" ref="C60:L60" si="14">C32</f>
        <v>494835.60000000009</v>
      </c>
      <c r="D60" s="12">
        <f t="shared" si="14"/>
        <v>858575.53</v>
      </c>
      <c r="E60" s="12">
        <f t="shared" si="14"/>
        <v>715713.31999999983</v>
      </c>
      <c r="F60" s="12">
        <f t="shared" si="14"/>
        <v>-113382.38999999998</v>
      </c>
      <c r="G60" s="10">
        <f t="shared" si="14"/>
        <v>-5288.25</v>
      </c>
      <c r="H60" s="10">
        <f t="shared" si="14"/>
        <v>0</v>
      </c>
      <c r="I60" s="10">
        <f t="shared" si="14"/>
        <v>-617.19999999999709</v>
      </c>
      <c r="J60" s="10">
        <f t="shared" si="14"/>
        <v>253194.93000000002</v>
      </c>
      <c r="K60" s="10">
        <f t="shared" si="14"/>
        <v>40947.369999999995</v>
      </c>
      <c r="L60" s="10">
        <f t="shared" si="14"/>
        <v>83939.26999999999</v>
      </c>
      <c r="M60" s="10"/>
      <c r="N60" s="10">
        <f>N32</f>
        <v>19875.759999999998</v>
      </c>
    </row>
    <row r="61" spans="1:14" ht="15.75" customHeight="1" x14ac:dyDescent="0.25">
      <c r="A61" s="8"/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ht="15.75" customHeight="1" x14ac:dyDescent="0.25">
      <c r="A62" s="1" t="s">
        <v>32</v>
      </c>
      <c r="B62" s="15">
        <f>SUM(C62:N62)</f>
        <v>2392073.37</v>
      </c>
      <c r="C62" s="15">
        <f t="shared" ref="C62:N62" si="15">SUM(C59:C60)</f>
        <v>494835.60000000009</v>
      </c>
      <c r="D62" s="15">
        <f t="shared" si="15"/>
        <v>858575.53</v>
      </c>
      <c r="E62" s="15">
        <f t="shared" si="15"/>
        <v>715713.31999999983</v>
      </c>
      <c r="F62" s="15">
        <f t="shared" si="15"/>
        <v>-113382.38999999998</v>
      </c>
      <c r="G62" s="15">
        <f t="shared" si="15"/>
        <v>-5288.25</v>
      </c>
      <c r="H62" s="15">
        <f t="shared" si="15"/>
        <v>0</v>
      </c>
      <c r="I62" s="15">
        <f t="shared" si="15"/>
        <v>-617.19999999999709</v>
      </c>
      <c r="J62" s="15">
        <f t="shared" si="15"/>
        <v>253194.93000000002</v>
      </c>
      <c r="K62" s="15">
        <f t="shared" si="15"/>
        <v>40947.369999999995</v>
      </c>
      <c r="L62" s="15">
        <f t="shared" si="15"/>
        <v>83939.26999999999</v>
      </c>
      <c r="M62" s="15">
        <f t="shared" si="15"/>
        <v>44279.43</v>
      </c>
      <c r="N62" s="15">
        <f t="shared" si="15"/>
        <v>19875.759999999998</v>
      </c>
    </row>
    <row r="63" spans="1:14" ht="15.75" customHeight="1" x14ac:dyDescent="0.25">
      <c r="A63" s="21"/>
      <c r="B63" s="21"/>
      <c r="C63" s="10"/>
      <c r="D63" s="10"/>
      <c r="E63" s="10"/>
      <c r="F63" s="10"/>
    </row>
    <row r="64" spans="1:14" ht="15.75" customHeight="1" x14ac:dyDescent="0.25">
      <c r="A64" s="21" t="str">
        <f>A1</f>
        <v xml:space="preserve">Month: July 2025                                                                                                                                </v>
      </c>
      <c r="B64" s="21"/>
      <c r="D64" s="10"/>
      <c r="E64" s="10"/>
      <c r="G64" s="10"/>
      <c r="H64" s="10"/>
      <c r="I64" s="10"/>
    </row>
    <row r="65" spans="1:19" ht="15.75" customHeight="1" x14ac:dyDescent="0.25">
      <c r="A65" s="10"/>
      <c r="B65" s="27" t="s">
        <v>79</v>
      </c>
      <c r="C65" s="27" t="s">
        <v>80</v>
      </c>
      <c r="D65" s="27" t="s">
        <v>81</v>
      </c>
      <c r="E65" s="27" t="s">
        <v>82</v>
      </c>
      <c r="F65" s="11" t="s">
        <v>83</v>
      </c>
      <c r="G65" s="10"/>
      <c r="H65" s="10"/>
      <c r="I65" s="10"/>
    </row>
    <row r="66" spans="1:19" ht="15.75" customHeight="1" x14ac:dyDescent="0.25">
      <c r="A66" s="30" t="s">
        <v>84</v>
      </c>
      <c r="B66" s="10"/>
      <c r="C66" s="10">
        <v>345437.16</v>
      </c>
      <c r="D66" s="10">
        <f>C101</f>
        <v>29446.510000000002</v>
      </c>
      <c r="E66" s="10">
        <f>D87</f>
        <v>0</v>
      </c>
      <c r="F66" s="10">
        <f t="shared" ref="F66:F67" si="16">(C66-D66+E66)-B66</f>
        <v>315990.64999999997</v>
      </c>
      <c r="G66" s="10"/>
      <c r="H66" s="10"/>
      <c r="I66" s="10">
        <f>C66-D66</f>
        <v>315990.64999999997</v>
      </c>
      <c r="O66" s="14"/>
    </row>
    <row r="67" spans="1:19" ht="15.75" customHeight="1" x14ac:dyDescent="0.25">
      <c r="A67" s="30" t="s">
        <v>85</v>
      </c>
      <c r="B67" s="10">
        <f>B33-M33</f>
        <v>2373288.67</v>
      </c>
      <c r="C67" s="10">
        <f>213318.07+1803180.16</f>
        <v>2016498.23</v>
      </c>
      <c r="D67" s="10">
        <f>D83</f>
        <v>0</v>
      </c>
      <c r="E67" s="10">
        <f>E79</f>
        <v>0</v>
      </c>
      <c r="F67" s="10">
        <f t="shared" si="16"/>
        <v>-356790.43999999994</v>
      </c>
      <c r="H67" s="10"/>
      <c r="I67" s="10">
        <f>C67+E67</f>
        <v>2016498.23</v>
      </c>
    </row>
    <row r="68" spans="1:19" ht="15.75" customHeight="1" x14ac:dyDescent="0.25">
      <c r="A68" s="30"/>
      <c r="B68" s="10"/>
      <c r="C68" s="10"/>
      <c r="D68" s="10"/>
      <c r="F68" s="31">
        <f>F66+F67</f>
        <v>-40799.789999999979</v>
      </c>
      <c r="G68" s="10"/>
      <c r="H68" s="10"/>
      <c r="I68" s="10">
        <f>I66+I67</f>
        <v>2332488.88</v>
      </c>
      <c r="O68" s="14"/>
    </row>
    <row r="69" spans="1:19" ht="15.75" customHeight="1" x14ac:dyDescent="0.25">
      <c r="A69" s="30" t="s">
        <v>28</v>
      </c>
      <c r="B69" s="10">
        <f>B55</f>
        <v>44279.43</v>
      </c>
      <c r="C69" s="10">
        <v>51135.39</v>
      </c>
      <c r="D69" s="10">
        <f>J84</f>
        <v>977.36</v>
      </c>
      <c r="E69" s="10">
        <f>J90</f>
        <v>0</v>
      </c>
      <c r="F69" s="10">
        <f>(C69-D69+E69)-B69</f>
        <v>5878.5999999999985</v>
      </c>
      <c r="G69" s="10"/>
      <c r="H69" s="10"/>
      <c r="I69" s="10"/>
    </row>
    <row r="70" spans="1:19" ht="15.75" customHeight="1" x14ac:dyDescent="0.25">
      <c r="A70" s="8"/>
      <c r="B70" s="10"/>
      <c r="C70" s="10" t="s">
        <v>86</v>
      </c>
      <c r="D70" s="10"/>
      <c r="E70" s="10" t="s">
        <v>87</v>
      </c>
      <c r="F70" s="31">
        <f>F68+F69</f>
        <v>-34921.189999999981</v>
      </c>
      <c r="G70" s="10"/>
      <c r="H70" s="10"/>
      <c r="I70" s="10"/>
      <c r="J70" s="32"/>
      <c r="K70" s="32"/>
      <c r="L70" s="32"/>
      <c r="M70" s="32"/>
      <c r="N70" s="32"/>
    </row>
    <row r="71" spans="1:19" ht="15.75" customHeight="1" x14ac:dyDescent="0.25">
      <c r="A71" s="8"/>
      <c r="B71" s="10"/>
      <c r="C71" s="10"/>
      <c r="D71" s="10"/>
      <c r="E71" s="10"/>
      <c r="F71" s="10"/>
      <c r="G71" s="10"/>
      <c r="H71" s="10"/>
      <c r="I71" s="10"/>
      <c r="J71" s="32"/>
      <c r="K71" s="32"/>
      <c r="L71" s="32"/>
      <c r="M71" s="32"/>
      <c r="N71" s="32"/>
    </row>
    <row r="72" spans="1:19" ht="15.75" customHeight="1" x14ac:dyDescent="0.25">
      <c r="A72" s="27"/>
      <c r="B72" s="69" t="s">
        <v>88</v>
      </c>
      <c r="C72" s="70"/>
      <c r="D72" s="71" t="s">
        <v>89</v>
      </c>
      <c r="E72" s="72"/>
      <c r="F72" s="23" t="s">
        <v>90</v>
      </c>
      <c r="J72" s="33" t="s">
        <v>91</v>
      </c>
      <c r="K72" s="34"/>
      <c r="L72" s="34"/>
      <c r="M72" s="32"/>
      <c r="N72" s="32"/>
      <c r="O72" s="32"/>
      <c r="P72" s="32"/>
      <c r="Q72" s="32"/>
    </row>
    <row r="73" spans="1:19" ht="15.75" customHeight="1" x14ac:dyDescent="0.25">
      <c r="A73" s="52">
        <v>45575</v>
      </c>
      <c r="B73" s="54">
        <v>18568</v>
      </c>
      <c r="C73" s="53">
        <v>86</v>
      </c>
      <c r="D73" s="36" t="s">
        <v>92</v>
      </c>
      <c r="E73" s="37">
        <v>0</v>
      </c>
      <c r="H73" s="35">
        <v>45826</v>
      </c>
      <c r="I73" s="23">
        <v>8425</v>
      </c>
      <c r="J73" s="23">
        <v>238.72</v>
      </c>
      <c r="L73" s="8"/>
      <c r="S73" s="14"/>
    </row>
    <row r="74" spans="1:19" ht="15.75" customHeight="1" x14ac:dyDescent="0.25">
      <c r="A74" s="52">
        <v>45575</v>
      </c>
      <c r="B74" s="54">
        <v>18573</v>
      </c>
      <c r="C74" s="53">
        <v>143.28</v>
      </c>
      <c r="D74" s="38" t="s">
        <v>93</v>
      </c>
      <c r="E74" s="39">
        <v>0</v>
      </c>
      <c r="F74" s="22"/>
      <c r="H74" s="35">
        <v>45855</v>
      </c>
      <c r="I74" s="23">
        <v>8462</v>
      </c>
      <c r="J74" s="23">
        <v>263.51</v>
      </c>
      <c r="L74" s="8"/>
      <c r="S74" s="14"/>
    </row>
    <row r="75" spans="1:19" ht="15.75" customHeight="1" x14ac:dyDescent="0.25">
      <c r="A75" s="52">
        <v>45672</v>
      </c>
      <c r="B75" s="54">
        <v>18767</v>
      </c>
      <c r="C75" s="53">
        <v>6170</v>
      </c>
      <c r="D75" s="38" t="s">
        <v>94</v>
      </c>
      <c r="E75" s="39">
        <v>0</v>
      </c>
      <c r="F75" s="22"/>
      <c r="H75" s="52">
        <v>45868</v>
      </c>
      <c r="I75" s="54">
        <v>8488</v>
      </c>
      <c r="J75" s="53">
        <v>227.13</v>
      </c>
      <c r="K75" s="8"/>
      <c r="L75" s="8"/>
      <c r="S75" s="14"/>
    </row>
    <row r="76" spans="1:19" ht="15.75" customHeight="1" x14ac:dyDescent="0.25">
      <c r="A76" s="52">
        <v>45700</v>
      </c>
      <c r="B76" s="54">
        <v>18812</v>
      </c>
      <c r="C76" s="53">
        <v>220</v>
      </c>
      <c r="D76" s="38" t="s">
        <v>95</v>
      </c>
      <c r="E76" s="39">
        <v>0</v>
      </c>
      <c r="F76" s="22"/>
      <c r="H76" s="52">
        <v>45868</v>
      </c>
      <c r="I76" s="54">
        <v>8489</v>
      </c>
      <c r="J76" s="53">
        <v>248</v>
      </c>
      <c r="K76" s="8"/>
      <c r="L76" s="8"/>
      <c r="S76" s="14"/>
    </row>
    <row r="77" spans="1:19" ht="15.75" customHeight="1" x14ac:dyDescent="0.25">
      <c r="A77" s="52">
        <v>45728</v>
      </c>
      <c r="B77" s="54">
        <v>18859</v>
      </c>
      <c r="C77" s="53">
        <v>61.04</v>
      </c>
      <c r="D77" s="38" t="s">
        <v>96</v>
      </c>
      <c r="E77" s="39">
        <v>0</v>
      </c>
      <c r="H77" s="52"/>
      <c r="I77" s="54"/>
      <c r="J77" s="53"/>
      <c r="K77" s="8"/>
      <c r="L77" s="8"/>
      <c r="S77" s="14"/>
    </row>
    <row r="78" spans="1:19" ht="15.75" customHeight="1" x14ac:dyDescent="0.25">
      <c r="A78" s="52">
        <v>45728</v>
      </c>
      <c r="B78" s="54">
        <v>18866</v>
      </c>
      <c r="C78" s="53">
        <v>2500</v>
      </c>
      <c r="D78" s="38" t="s">
        <v>97</v>
      </c>
      <c r="E78" s="39">
        <v>0</v>
      </c>
      <c r="F78" s="73" t="s">
        <v>98</v>
      </c>
      <c r="G78" s="72"/>
      <c r="H78" s="35"/>
      <c r="J78" s="53"/>
      <c r="K78" s="8"/>
      <c r="L78" s="8"/>
      <c r="S78" s="14"/>
    </row>
    <row r="79" spans="1:19" ht="15.75" customHeight="1" x14ac:dyDescent="0.25">
      <c r="A79" s="52">
        <v>45819</v>
      </c>
      <c r="B79" s="54">
        <v>18996</v>
      </c>
      <c r="C79" s="53">
        <v>43</v>
      </c>
      <c r="D79" s="40"/>
      <c r="E79" s="41">
        <f>E73+E74+E75+E76+E77+E78</f>
        <v>0</v>
      </c>
      <c r="F79" s="42"/>
      <c r="G79" s="43"/>
      <c r="H79" s="35"/>
      <c r="J79" s="53"/>
      <c r="K79" s="8"/>
      <c r="L79" s="8"/>
      <c r="S79" s="14"/>
    </row>
    <row r="80" spans="1:19" ht="15.75" customHeight="1" x14ac:dyDescent="0.25">
      <c r="A80" s="52">
        <v>45847</v>
      </c>
      <c r="B80" s="54">
        <v>19034</v>
      </c>
      <c r="C80" s="53">
        <v>7709.38</v>
      </c>
      <c r="D80" s="44" t="s">
        <v>99</v>
      </c>
      <c r="F80" s="23" t="s">
        <v>100</v>
      </c>
      <c r="G80" s="27"/>
      <c r="H80" s="35"/>
      <c r="J80" s="53"/>
      <c r="K80" s="8"/>
      <c r="L80" s="8"/>
      <c r="S80" s="14"/>
    </row>
    <row r="81" spans="1:19" ht="15.75" customHeight="1" x14ac:dyDescent="0.25">
      <c r="A81" s="52">
        <v>45847</v>
      </c>
      <c r="B81" s="54">
        <v>19042</v>
      </c>
      <c r="C81" s="53">
        <v>85</v>
      </c>
      <c r="D81" s="45"/>
      <c r="F81" s="23" t="s">
        <v>101</v>
      </c>
      <c r="G81" s="27"/>
      <c r="H81" s="27"/>
      <c r="I81" s="27"/>
      <c r="J81" s="10"/>
      <c r="K81" s="8"/>
      <c r="L81" s="8"/>
      <c r="S81" s="14"/>
    </row>
    <row r="82" spans="1:19" ht="15.75" customHeight="1" x14ac:dyDescent="0.25">
      <c r="A82" s="52">
        <v>45868</v>
      </c>
      <c r="B82" s="23">
        <v>19056</v>
      </c>
      <c r="C82" s="56">
        <v>1049.7</v>
      </c>
      <c r="D82" s="14"/>
      <c r="F82" s="23" t="s">
        <v>102</v>
      </c>
      <c r="G82" s="27"/>
      <c r="H82" s="27"/>
      <c r="I82" s="27"/>
      <c r="J82" s="10"/>
      <c r="K82" s="8"/>
      <c r="L82" s="8"/>
      <c r="S82" s="14"/>
    </row>
    <row r="83" spans="1:19" ht="15.75" customHeight="1" x14ac:dyDescent="0.25">
      <c r="A83" s="52">
        <v>45868</v>
      </c>
      <c r="B83" s="54">
        <v>19057</v>
      </c>
      <c r="C83" s="53">
        <v>10047.290000000001</v>
      </c>
      <c r="D83" s="46">
        <f>SUM(D81:D82)</f>
        <v>0</v>
      </c>
      <c r="F83" s="23" t="s">
        <v>103</v>
      </c>
      <c r="G83" s="27">
        <v>18931</v>
      </c>
      <c r="H83" s="27"/>
      <c r="I83" s="27"/>
      <c r="J83" s="10"/>
      <c r="K83" s="8"/>
      <c r="L83" s="8"/>
      <c r="S83" s="14"/>
    </row>
    <row r="84" spans="1:19" ht="15.75" customHeight="1" x14ac:dyDescent="0.25">
      <c r="A84" s="52">
        <v>45868</v>
      </c>
      <c r="B84" s="54">
        <v>19058</v>
      </c>
      <c r="C84" s="53">
        <v>137.38</v>
      </c>
      <c r="F84" s="23" t="s">
        <v>104</v>
      </c>
      <c r="G84" s="27"/>
      <c r="H84" s="27"/>
      <c r="I84" s="27"/>
      <c r="J84" s="47">
        <f>SUM(J73:J83)</f>
        <v>977.36</v>
      </c>
      <c r="K84" s="8"/>
      <c r="L84" s="8"/>
      <c r="S84" s="14"/>
    </row>
    <row r="85" spans="1:19" ht="15.75" customHeight="1" x14ac:dyDescent="0.25">
      <c r="A85" s="52">
        <v>45868</v>
      </c>
      <c r="B85" s="54">
        <v>19059</v>
      </c>
      <c r="C85" s="53">
        <v>1194.44</v>
      </c>
      <c r="F85" s="23" t="s">
        <v>105</v>
      </c>
      <c r="G85" s="27"/>
      <c r="H85" s="27"/>
      <c r="I85" s="27"/>
      <c r="J85" s="14"/>
      <c r="K85" s="8"/>
      <c r="L85" s="8"/>
      <c r="S85" s="14"/>
    </row>
    <row r="86" spans="1:19" ht="15.75" customHeight="1" x14ac:dyDescent="0.25">
      <c r="A86" s="52"/>
      <c r="C86" s="56"/>
      <c r="D86" s="33" t="s">
        <v>106</v>
      </c>
      <c r="E86" s="32"/>
      <c r="F86" s="23" t="s">
        <v>107</v>
      </c>
      <c r="G86" s="27"/>
      <c r="H86" s="27"/>
      <c r="I86" s="27"/>
      <c r="J86" s="33" t="s">
        <v>108</v>
      </c>
      <c r="K86" s="8"/>
      <c r="L86" s="8"/>
      <c r="S86" s="14"/>
    </row>
    <row r="87" spans="1:19" ht="15.75" customHeight="1" x14ac:dyDescent="0.25">
      <c r="A87" s="52"/>
      <c r="B87" s="23"/>
      <c r="C87" s="56"/>
      <c r="D87" s="45"/>
      <c r="E87" s="32"/>
      <c r="F87" s="14"/>
      <c r="J87" s="48"/>
      <c r="K87" s="8"/>
      <c r="L87" s="8"/>
      <c r="S87" s="14"/>
    </row>
    <row r="88" spans="1:19" ht="15" customHeight="1" x14ac:dyDescent="0.25">
      <c r="A88" s="52"/>
      <c r="C88" s="56"/>
      <c r="D88" s="14"/>
      <c r="E88" s="32"/>
      <c r="F88" s="14"/>
      <c r="G88" s="14"/>
      <c r="H88" s="14"/>
      <c r="I88" s="14"/>
      <c r="J88" s="48"/>
      <c r="K88" s="8"/>
      <c r="L88" s="8"/>
      <c r="S88" s="14"/>
    </row>
    <row r="89" spans="1:19" ht="15" customHeight="1" x14ac:dyDescent="0.25">
      <c r="A89" s="35"/>
      <c r="B89" s="23"/>
      <c r="C89" s="56"/>
      <c r="D89" s="14"/>
      <c r="E89" s="32"/>
      <c r="F89" s="14"/>
      <c r="G89" s="14"/>
      <c r="H89" s="14"/>
      <c r="I89" s="14"/>
      <c r="J89" s="48"/>
      <c r="K89" s="8"/>
      <c r="L89" s="8"/>
      <c r="S89" s="14"/>
    </row>
    <row r="90" spans="1:19" ht="15" customHeight="1" x14ac:dyDescent="0.25">
      <c r="A90" s="35"/>
      <c r="C90" s="56"/>
      <c r="D90" s="14"/>
      <c r="E90" s="32"/>
      <c r="F90" s="14"/>
      <c r="G90" s="14"/>
      <c r="H90" s="49"/>
      <c r="I90" s="8"/>
      <c r="J90" s="50">
        <f>SUM(J87:J89)</f>
        <v>0</v>
      </c>
      <c r="Q90" s="14"/>
    </row>
    <row r="91" spans="1:19" ht="15" customHeight="1" x14ac:dyDescent="0.25">
      <c r="A91" s="35"/>
      <c r="B91" s="23"/>
      <c r="C91" s="56"/>
      <c r="D91" s="14"/>
      <c r="E91" s="32"/>
      <c r="F91" s="14"/>
      <c r="G91" s="14"/>
      <c r="H91" s="49"/>
      <c r="I91" s="8"/>
      <c r="J91" s="8"/>
      <c r="Q91" s="14"/>
    </row>
    <row r="92" spans="1:19" ht="15" customHeight="1" x14ac:dyDescent="0.25">
      <c r="A92" s="35"/>
      <c r="B92" s="23"/>
      <c r="C92" s="56"/>
      <c r="D92" s="14"/>
      <c r="E92" s="32"/>
      <c r="F92" s="14"/>
      <c r="G92" s="14"/>
      <c r="H92" s="49"/>
      <c r="I92" s="8"/>
      <c r="J92" s="8"/>
      <c r="Q92" s="14"/>
    </row>
    <row r="93" spans="1:19" ht="15" customHeight="1" x14ac:dyDescent="0.25">
      <c r="A93" s="35"/>
      <c r="B93" s="23"/>
      <c r="C93" s="56"/>
      <c r="D93" s="14"/>
      <c r="E93" s="32"/>
      <c r="F93" s="14"/>
      <c r="G93" s="14"/>
      <c r="H93" s="49"/>
      <c r="I93" s="8"/>
      <c r="J93" s="8"/>
      <c r="Q93" s="14"/>
    </row>
    <row r="94" spans="1:19" ht="15" customHeight="1" x14ac:dyDescent="0.25">
      <c r="A94" s="35"/>
      <c r="B94" s="23"/>
      <c r="C94" s="14"/>
      <c r="D94" s="14"/>
      <c r="E94" s="32"/>
      <c r="F94" s="14"/>
      <c r="G94" s="14"/>
      <c r="H94" s="49"/>
      <c r="I94" s="8"/>
      <c r="J94" s="8"/>
      <c r="Q94" s="14"/>
    </row>
    <row r="95" spans="1:19" ht="15" customHeight="1" x14ac:dyDescent="0.25">
      <c r="A95" s="35"/>
      <c r="B95" s="23"/>
      <c r="C95" s="14"/>
      <c r="D95" s="14"/>
      <c r="E95" s="32"/>
      <c r="F95" s="14"/>
      <c r="G95" s="14"/>
      <c r="H95" s="49"/>
      <c r="I95" s="8"/>
      <c r="J95" s="8"/>
      <c r="Q95" s="14"/>
    </row>
    <row r="96" spans="1:19" ht="15" customHeight="1" x14ac:dyDescent="0.25">
      <c r="A96" s="35"/>
      <c r="B96" s="23"/>
      <c r="C96" s="14"/>
      <c r="D96" s="14"/>
      <c r="E96" s="32"/>
      <c r="F96" s="14"/>
      <c r="G96" s="14"/>
      <c r="H96" s="49"/>
      <c r="I96" s="8"/>
      <c r="J96" s="8"/>
      <c r="Q96" s="14"/>
    </row>
    <row r="97" spans="1:17" ht="15" customHeight="1" x14ac:dyDescent="0.25">
      <c r="A97" s="35"/>
      <c r="B97" s="23"/>
      <c r="C97" s="14"/>
      <c r="D97" s="14"/>
      <c r="E97" s="32"/>
      <c r="F97" s="14"/>
      <c r="G97" s="14"/>
      <c r="H97" s="49"/>
      <c r="I97" s="8"/>
      <c r="J97" s="8"/>
      <c r="Q97" s="14"/>
    </row>
    <row r="98" spans="1:17" ht="15" customHeight="1" x14ac:dyDescent="0.25">
      <c r="A98" s="35"/>
      <c r="B98" s="23"/>
      <c r="C98" s="14"/>
      <c r="D98" s="14"/>
      <c r="E98" s="32"/>
      <c r="F98" s="14"/>
      <c r="G98" s="14"/>
      <c r="H98" s="49"/>
      <c r="I98" s="8"/>
      <c r="J98" s="8"/>
      <c r="Q98" s="14"/>
    </row>
    <row r="99" spans="1:17" ht="15" customHeight="1" x14ac:dyDescent="0.25">
      <c r="A99" s="35"/>
      <c r="B99" s="23"/>
      <c r="C99" s="14"/>
      <c r="D99" s="14"/>
      <c r="E99" s="32"/>
      <c r="F99" s="14"/>
      <c r="G99" s="14"/>
      <c r="H99" s="49"/>
      <c r="I99" s="8"/>
      <c r="J99" s="8"/>
      <c r="Q99" s="14"/>
    </row>
    <row r="100" spans="1:17" ht="15" customHeight="1" x14ac:dyDescent="0.25">
      <c r="A100" s="35"/>
      <c r="B100" s="23"/>
      <c r="C100" s="14"/>
      <c r="D100" s="14"/>
      <c r="E100" s="32"/>
      <c r="F100" s="14"/>
      <c r="G100" s="14"/>
      <c r="H100" s="49"/>
      <c r="I100" s="8"/>
      <c r="J100" s="8"/>
      <c r="Q100" s="14"/>
    </row>
    <row r="101" spans="1:17" ht="15.75" customHeight="1" x14ac:dyDescent="0.25">
      <c r="C101" s="46">
        <f>SUM(C73:C100)</f>
        <v>29446.510000000002</v>
      </c>
      <c r="D101" s="14"/>
      <c r="E101" s="32"/>
      <c r="F101" s="14"/>
      <c r="G101" s="14"/>
      <c r="H101" s="49"/>
      <c r="I101" s="8"/>
      <c r="J101" s="8"/>
      <c r="Q101" s="14"/>
    </row>
    <row r="102" spans="1:17" ht="15.75" customHeight="1" x14ac:dyDescent="0.25">
      <c r="C102" s="14"/>
      <c r="D102" s="32"/>
      <c r="E102" s="14"/>
      <c r="F102" s="14"/>
      <c r="G102" s="49"/>
      <c r="H102" s="8"/>
      <c r="I102" s="8"/>
      <c r="P102" s="14"/>
    </row>
    <row r="103" spans="1:17" ht="15.75" customHeight="1" x14ac:dyDescent="0.25">
      <c r="C103" s="14"/>
      <c r="D103" s="32"/>
      <c r="E103" s="14"/>
      <c r="F103" s="14"/>
      <c r="G103" s="49"/>
      <c r="H103" s="8"/>
      <c r="I103" s="8"/>
      <c r="P103" s="14"/>
    </row>
    <row r="104" spans="1:17" ht="15.75" customHeight="1" x14ac:dyDescent="0.25">
      <c r="C104" s="14"/>
      <c r="D104" s="32"/>
      <c r="E104" s="14"/>
      <c r="F104" s="14"/>
      <c r="G104" s="49"/>
      <c r="H104" s="8"/>
      <c r="I104" s="8"/>
      <c r="P104" s="14"/>
    </row>
    <row r="105" spans="1:17" ht="15.75" customHeight="1" x14ac:dyDescent="0.25">
      <c r="C105" s="14"/>
      <c r="D105" s="32"/>
      <c r="E105" s="14"/>
      <c r="F105" s="14"/>
      <c r="G105" s="49"/>
      <c r="H105" s="8"/>
      <c r="I105" s="8"/>
      <c r="P105" s="14"/>
    </row>
    <row r="106" spans="1:17" ht="15.75" customHeight="1" x14ac:dyDescent="0.25">
      <c r="C106" s="14"/>
      <c r="D106" s="32"/>
      <c r="E106" s="14"/>
      <c r="F106" s="14"/>
      <c r="G106" s="49"/>
      <c r="H106" s="8"/>
      <c r="I106" s="8"/>
      <c r="P106" s="14"/>
    </row>
    <row r="107" spans="1:17" ht="15.75" customHeight="1" x14ac:dyDescent="0.25">
      <c r="C107" s="14"/>
      <c r="D107" s="32"/>
      <c r="E107" s="14"/>
      <c r="F107" s="14"/>
      <c r="G107" s="49"/>
      <c r="H107" s="8"/>
      <c r="I107" s="8"/>
      <c r="P107" s="14"/>
    </row>
    <row r="108" spans="1:17" ht="15.75" customHeight="1" x14ac:dyDescent="0.25">
      <c r="C108" s="14"/>
      <c r="D108" s="32"/>
      <c r="E108" s="14"/>
      <c r="F108" s="14"/>
      <c r="G108" s="49"/>
      <c r="H108" s="8"/>
      <c r="I108" s="8"/>
      <c r="P108" s="14"/>
    </row>
    <row r="109" spans="1:17" ht="15.75" customHeight="1" x14ac:dyDescent="0.25">
      <c r="C109" s="14"/>
      <c r="D109" s="32"/>
      <c r="E109" s="14"/>
      <c r="F109" s="14"/>
      <c r="G109" s="49"/>
      <c r="H109" s="8"/>
      <c r="I109" s="8"/>
      <c r="P109" s="14"/>
    </row>
    <row r="110" spans="1:17" ht="15.75" customHeight="1" x14ac:dyDescent="0.25">
      <c r="B110" s="22"/>
      <c r="C110" s="14"/>
      <c r="D110" s="32"/>
      <c r="E110" s="14"/>
      <c r="F110" s="14"/>
      <c r="G110" s="49"/>
      <c r="H110" s="8"/>
      <c r="I110" s="8"/>
      <c r="P110" s="14"/>
    </row>
    <row r="111" spans="1:17" ht="15.75" customHeight="1" x14ac:dyDescent="0.25">
      <c r="C111" s="14"/>
      <c r="D111" s="32"/>
      <c r="E111" s="14"/>
      <c r="F111" s="14"/>
      <c r="G111" s="49"/>
      <c r="H111" s="8"/>
      <c r="I111" s="8"/>
      <c r="P111" s="14"/>
    </row>
    <row r="112" spans="1:17" ht="15.75" customHeight="1" x14ac:dyDescent="0.25">
      <c r="C112" s="14"/>
      <c r="D112" s="32"/>
      <c r="E112" s="14"/>
      <c r="F112" s="14"/>
      <c r="G112" s="49"/>
      <c r="H112" s="8"/>
      <c r="I112" s="8"/>
      <c r="P112" s="14"/>
    </row>
    <row r="113" spans="1:16" ht="15.75" customHeight="1" x14ac:dyDescent="0.25">
      <c r="C113" s="14"/>
      <c r="D113" s="32"/>
      <c r="E113" s="14"/>
      <c r="F113" s="14"/>
      <c r="G113" s="49"/>
      <c r="H113" s="8"/>
      <c r="I113" s="8"/>
      <c r="P113" s="14"/>
    </row>
    <row r="114" spans="1:16" ht="15.75" customHeight="1" x14ac:dyDescent="0.25">
      <c r="B114" s="14"/>
      <c r="C114" s="14"/>
      <c r="D114" s="32"/>
      <c r="E114" s="14"/>
      <c r="F114" s="14"/>
      <c r="G114" s="49"/>
      <c r="H114" s="8"/>
      <c r="I114" s="8"/>
      <c r="P114" s="14"/>
    </row>
    <row r="115" spans="1:16" ht="15.75" customHeight="1" x14ac:dyDescent="0.25">
      <c r="B115" s="14"/>
      <c r="C115" s="14"/>
      <c r="D115" s="32"/>
      <c r="E115" s="14"/>
      <c r="F115" s="14"/>
      <c r="G115" s="49"/>
      <c r="H115" s="8"/>
      <c r="I115" s="8"/>
      <c r="P115" s="14"/>
    </row>
    <row r="116" spans="1:16" ht="15.75" customHeight="1" x14ac:dyDescent="0.25">
      <c r="B116" s="14"/>
      <c r="C116" s="14"/>
      <c r="D116" s="32"/>
      <c r="E116" s="14"/>
      <c r="F116" s="14"/>
      <c r="G116" s="49"/>
      <c r="H116" s="8"/>
      <c r="I116" s="8"/>
      <c r="P116" s="14"/>
    </row>
    <row r="117" spans="1:16" ht="15.75" customHeight="1" x14ac:dyDescent="0.25">
      <c r="B117" s="14"/>
      <c r="C117" s="22"/>
      <c r="H117" s="8"/>
      <c r="I117" s="8"/>
    </row>
    <row r="118" spans="1:16" ht="15.75" customHeight="1" x14ac:dyDescent="0.25">
      <c r="B118" s="14"/>
      <c r="E118" s="14"/>
    </row>
    <row r="119" spans="1:16" ht="15.75" customHeight="1" x14ac:dyDescent="0.25">
      <c r="B119" s="14"/>
    </row>
    <row r="120" spans="1:16" ht="15.75" customHeight="1" x14ac:dyDescent="0.25">
      <c r="B120" s="14"/>
      <c r="E120" s="14"/>
    </row>
    <row r="121" spans="1:16" ht="15.75" customHeight="1" x14ac:dyDescent="0.25">
      <c r="B121" s="14"/>
    </row>
    <row r="122" spans="1:16" ht="15.75" customHeight="1" x14ac:dyDescent="0.25">
      <c r="B122" s="14"/>
    </row>
    <row r="123" spans="1:16" ht="15.75" customHeight="1" x14ac:dyDescent="0.25">
      <c r="B123" s="14"/>
      <c r="C123" s="22"/>
    </row>
    <row r="124" spans="1:16" ht="15.75" customHeight="1" x14ac:dyDescent="0.25">
      <c r="B124" s="14"/>
    </row>
    <row r="125" spans="1:16" ht="15.75" customHeight="1" x14ac:dyDescent="0.25">
      <c r="B125" s="14"/>
    </row>
    <row r="126" spans="1:16" ht="15.75" customHeight="1" x14ac:dyDescent="0.25">
      <c r="B126" s="14"/>
    </row>
    <row r="127" spans="1:16" ht="15.75" customHeight="1" x14ac:dyDescent="0.25">
      <c r="B127" s="14"/>
    </row>
    <row r="128" spans="1:16" ht="15.75" customHeight="1" x14ac:dyDescent="0.25">
      <c r="A128" s="22"/>
      <c r="B128" s="14"/>
    </row>
    <row r="129" spans="1:2" ht="15.75" customHeight="1" x14ac:dyDescent="0.25">
      <c r="A129" s="22"/>
      <c r="B129" s="14"/>
    </row>
    <row r="130" spans="1:2" ht="15.75" customHeight="1" x14ac:dyDescent="0.25">
      <c r="A130" s="51"/>
      <c r="B130" s="14"/>
    </row>
    <row r="131" spans="1:2" ht="15.75" customHeight="1" x14ac:dyDescent="0.25">
      <c r="A131" s="51"/>
      <c r="B131" s="14"/>
    </row>
    <row r="132" spans="1:2" ht="15.75" customHeight="1" x14ac:dyDescent="0.25">
      <c r="A132" s="51"/>
      <c r="B132" s="14"/>
    </row>
    <row r="133" spans="1:2" ht="15.75" customHeight="1" x14ac:dyDescent="0.25">
      <c r="A133" s="51"/>
      <c r="B133" s="14"/>
    </row>
    <row r="134" spans="1:2" ht="15.75" customHeight="1" x14ac:dyDescent="0.25">
      <c r="A134" s="51"/>
      <c r="B134" s="14"/>
    </row>
    <row r="135" spans="1:2" ht="15.75" customHeight="1" x14ac:dyDescent="0.25">
      <c r="A135" s="51"/>
      <c r="B135" s="14"/>
    </row>
    <row r="136" spans="1:2" ht="15.75" customHeight="1" x14ac:dyDescent="0.25">
      <c r="A136" s="51"/>
      <c r="B136" s="14"/>
    </row>
    <row r="137" spans="1:2" ht="15.75" customHeight="1" x14ac:dyDescent="0.25">
      <c r="A137" s="51"/>
      <c r="B137" s="14"/>
    </row>
    <row r="138" spans="1:2" ht="15.75" customHeight="1" x14ac:dyDescent="0.25">
      <c r="A138" s="51"/>
      <c r="B138" s="14"/>
    </row>
    <row r="139" spans="1:2" ht="15.75" customHeight="1" x14ac:dyDescent="0.25">
      <c r="A139" s="51"/>
      <c r="B139" s="14"/>
    </row>
    <row r="140" spans="1:2" ht="15.75" customHeight="1" x14ac:dyDescent="0.25">
      <c r="A140" s="51"/>
      <c r="B140" s="14"/>
    </row>
    <row r="141" spans="1:2" ht="15.75" customHeight="1" x14ac:dyDescent="0.25">
      <c r="A141" s="51"/>
      <c r="B141" s="14"/>
    </row>
    <row r="142" spans="1:2" ht="15.75" customHeight="1" x14ac:dyDescent="0.25">
      <c r="A142" s="51"/>
    </row>
    <row r="143" spans="1:2" ht="15.75" customHeight="1" x14ac:dyDescent="0.25">
      <c r="A143" s="51"/>
      <c r="B143" s="14"/>
    </row>
    <row r="144" spans="1:2" ht="15.75" customHeight="1" x14ac:dyDescent="0.25">
      <c r="A144" s="51"/>
    </row>
    <row r="145" spans="1:1" ht="15.75" customHeight="1" x14ac:dyDescent="0.25">
      <c r="A145" s="51"/>
    </row>
    <row r="146" spans="1:1" ht="15.75" customHeight="1" x14ac:dyDescent="0.25"/>
    <row r="147" spans="1:1" ht="15.75" customHeight="1" x14ac:dyDescent="0.25"/>
    <row r="148" spans="1:1" ht="15.75" customHeight="1" x14ac:dyDescent="0.25"/>
    <row r="149" spans="1:1" ht="15.75" customHeight="1" x14ac:dyDescent="0.25"/>
    <row r="150" spans="1:1" ht="15.75" customHeight="1" x14ac:dyDescent="0.25"/>
    <row r="151" spans="1:1" ht="15.75" customHeight="1" x14ac:dyDescent="0.25"/>
    <row r="152" spans="1:1" ht="15.75" customHeight="1" x14ac:dyDescent="0.25"/>
    <row r="153" spans="1:1" ht="15.75" customHeight="1" x14ac:dyDescent="0.25"/>
    <row r="154" spans="1:1" ht="15.75" customHeight="1" x14ac:dyDescent="0.25"/>
    <row r="155" spans="1:1" ht="15.75" customHeight="1" x14ac:dyDescent="0.25"/>
    <row r="156" spans="1:1" ht="15.75" customHeight="1" x14ac:dyDescent="0.25"/>
    <row r="157" spans="1:1" ht="15.75" customHeight="1" x14ac:dyDescent="0.25"/>
    <row r="158" spans="1:1" ht="15.75" customHeight="1" x14ac:dyDescent="0.25"/>
    <row r="159" spans="1:1" ht="15.75" customHeight="1" x14ac:dyDescent="0.25">
      <c r="A159" s="51"/>
    </row>
    <row r="160" spans="1:1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9:A10"/>
    <mergeCell ref="B72:C72"/>
    <mergeCell ref="D72:E72"/>
    <mergeCell ref="F78:G78"/>
  </mergeCells>
  <printOptions gridLines="1"/>
  <pageMargins left="0.7" right="0.7" top="0.75" bottom="0.75" header="0" footer="0"/>
  <pageSetup paperSize="5" orientation="landscape"/>
  <rowBreaks count="2" manualBreakCount="2">
    <brk id="34" man="1"/>
    <brk id="7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990"/>
  <sheetViews>
    <sheetView zoomScaleNormal="100" workbookViewId="0"/>
  </sheetViews>
  <sheetFormatPr defaultColWidth="14.42578125" defaultRowHeight="15" customHeight="1" x14ac:dyDescent="0.25"/>
  <cols>
    <col min="1" max="1" width="16.7109375" customWidth="1"/>
    <col min="3" max="3" width="16" customWidth="1"/>
    <col min="4" max="4" width="16.140625" customWidth="1"/>
    <col min="5" max="5" width="16.7109375" customWidth="1"/>
    <col min="6" max="6" width="13.28515625" customWidth="1"/>
    <col min="7" max="7" width="14.5703125" customWidth="1"/>
    <col min="8" max="8" width="11" customWidth="1"/>
    <col min="9" max="14" width="14.140625" customWidth="1"/>
    <col min="15" max="15" width="12.85546875" customWidth="1"/>
    <col min="16" max="16" width="12.5703125" customWidth="1"/>
    <col min="17" max="17" width="8.7109375" customWidth="1"/>
    <col min="18" max="18" width="13.42578125" customWidth="1"/>
    <col min="19" max="31" width="8.7109375" customWidth="1"/>
  </cols>
  <sheetData>
    <row r="1" spans="1:31" x14ac:dyDescent="0.25">
      <c r="A1" s="1" t="s">
        <v>130</v>
      </c>
      <c r="B1" s="1"/>
      <c r="C1" s="1"/>
      <c r="D1" s="1"/>
      <c r="E1" s="1"/>
      <c r="F1" s="1"/>
      <c r="G1" s="1"/>
    </row>
    <row r="2" spans="1:31" x14ac:dyDescent="0.2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ht="26.25" x14ac:dyDescent="0.25">
      <c r="A3" s="6" t="s">
        <v>14</v>
      </c>
      <c r="B3" s="6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G3" s="7" t="s">
        <v>117</v>
      </c>
      <c r="H3" s="7" t="s">
        <v>21</v>
      </c>
      <c r="I3" s="7" t="s">
        <v>22</v>
      </c>
      <c r="J3" s="7" t="s">
        <v>23</v>
      </c>
      <c r="K3" s="7" t="s">
        <v>24</v>
      </c>
      <c r="L3" s="7" t="s">
        <v>25</v>
      </c>
      <c r="M3" s="7" t="s">
        <v>26</v>
      </c>
      <c r="N3" s="7" t="s">
        <v>27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x14ac:dyDescent="0.25">
      <c r="A4" s="8" t="s">
        <v>28</v>
      </c>
      <c r="B4" s="9">
        <v>44279.43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>
        <v>44279.43</v>
      </c>
      <c r="N4" s="10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x14ac:dyDescent="0.25">
      <c r="A5" s="8" t="s">
        <v>78</v>
      </c>
      <c r="B5" s="9">
        <v>2347793.94</v>
      </c>
      <c r="C5" s="12">
        <v>494835.60000000009</v>
      </c>
      <c r="D5" s="12">
        <v>858575.53</v>
      </c>
      <c r="E5" s="12">
        <v>715713.31999999983</v>
      </c>
      <c r="F5" s="12">
        <v>-113382.38999999998</v>
      </c>
      <c r="G5" s="10">
        <v>-5288.25</v>
      </c>
      <c r="H5" s="10">
        <v>0</v>
      </c>
      <c r="I5" s="10">
        <v>-617.19999999999709</v>
      </c>
      <c r="J5" s="10">
        <v>253194.93000000002</v>
      </c>
      <c r="K5" s="10">
        <v>40947.369999999995</v>
      </c>
      <c r="L5" s="10">
        <v>83939.26999999999</v>
      </c>
      <c r="M5" s="10"/>
      <c r="N5" s="10">
        <v>19875.759999999998</v>
      </c>
      <c r="O5" s="13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x14ac:dyDescent="0.25">
      <c r="A6" s="8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4"/>
      <c r="AA6" s="5"/>
      <c r="AB6" s="5"/>
    </row>
    <row r="7" spans="1:31" x14ac:dyDescent="0.25">
      <c r="A7" s="1" t="s">
        <v>32</v>
      </c>
      <c r="B7" s="15">
        <f t="shared" ref="B7:N7" si="0">SUM(B4:B6)</f>
        <v>2392073.37</v>
      </c>
      <c r="C7" s="15">
        <f t="shared" si="0"/>
        <v>494835.60000000009</v>
      </c>
      <c r="D7" s="15">
        <f t="shared" si="0"/>
        <v>858575.53</v>
      </c>
      <c r="E7" s="15">
        <f t="shared" si="0"/>
        <v>715713.31999999983</v>
      </c>
      <c r="F7" s="15">
        <f t="shared" si="0"/>
        <v>-113382.38999999998</v>
      </c>
      <c r="G7" s="15">
        <f t="shared" si="0"/>
        <v>-5288.25</v>
      </c>
      <c r="H7" s="15">
        <f t="shared" si="0"/>
        <v>0</v>
      </c>
      <c r="I7" s="15">
        <f t="shared" si="0"/>
        <v>-617.19999999999709</v>
      </c>
      <c r="J7" s="15">
        <f t="shared" si="0"/>
        <v>253194.93000000002</v>
      </c>
      <c r="K7" s="15">
        <f t="shared" si="0"/>
        <v>40947.369999999995</v>
      </c>
      <c r="L7" s="15">
        <f t="shared" si="0"/>
        <v>83939.26999999999</v>
      </c>
      <c r="M7" s="15">
        <f t="shared" si="0"/>
        <v>44279.43</v>
      </c>
      <c r="N7" s="15">
        <f t="shared" si="0"/>
        <v>19875.759999999998</v>
      </c>
      <c r="AA7" s="5"/>
      <c r="AB7" s="5"/>
    </row>
    <row r="8" spans="1:31" x14ac:dyDescent="0.25">
      <c r="A8" s="1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4"/>
      <c r="AA8" s="5"/>
      <c r="AB8" s="5"/>
    </row>
    <row r="9" spans="1:31" x14ac:dyDescent="0.25">
      <c r="A9" s="67" t="s">
        <v>33</v>
      </c>
      <c r="B9" s="16"/>
      <c r="C9" s="17" t="s">
        <v>3</v>
      </c>
      <c r="D9" s="17" t="s">
        <v>4</v>
      </c>
      <c r="E9" s="17" t="s">
        <v>5</v>
      </c>
      <c r="F9" s="17" t="s">
        <v>6</v>
      </c>
      <c r="G9" s="17" t="s">
        <v>118</v>
      </c>
      <c r="H9" s="17" t="s">
        <v>35</v>
      </c>
      <c r="I9" s="17" t="s">
        <v>8</v>
      </c>
      <c r="J9" s="17" t="s">
        <v>36</v>
      </c>
      <c r="K9" s="17" t="s">
        <v>37</v>
      </c>
      <c r="L9" s="17" t="s">
        <v>38</v>
      </c>
      <c r="M9" s="17" t="s">
        <v>12</v>
      </c>
      <c r="N9" s="17" t="s">
        <v>13</v>
      </c>
      <c r="AA9" s="5"/>
      <c r="AB9" s="5"/>
    </row>
    <row r="10" spans="1:31" x14ac:dyDescent="0.25">
      <c r="A10" s="68"/>
      <c r="B10" s="16">
        <f>SUM(C10:N10)</f>
        <v>2392073.37</v>
      </c>
      <c r="C10" s="18">
        <f t="shared" ref="C10:N10" si="1">C7</f>
        <v>494835.60000000009</v>
      </c>
      <c r="D10" s="18">
        <f t="shared" si="1"/>
        <v>858575.53</v>
      </c>
      <c r="E10" s="18">
        <f t="shared" si="1"/>
        <v>715713.31999999983</v>
      </c>
      <c r="F10" s="18">
        <f t="shared" si="1"/>
        <v>-113382.38999999998</v>
      </c>
      <c r="G10" s="18">
        <f t="shared" si="1"/>
        <v>-5288.25</v>
      </c>
      <c r="H10" s="18">
        <f t="shared" si="1"/>
        <v>0</v>
      </c>
      <c r="I10" s="18">
        <f t="shared" si="1"/>
        <v>-617.19999999999709</v>
      </c>
      <c r="J10" s="18">
        <f t="shared" si="1"/>
        <v>253194.93000000002</v>
      </c>
      <c r="K10" s="18">
        <f t="shared" si="1"/>
        <v>40947.369999999995</v>
      </c>
      <c r="L10" s="18">
        <f t="shared" si="1"/>
        <v>83939.26999999999</v>
      </c>
      <c r="M10" s="18">
        <f t="shared" si="1"/>
        <v>44279.43</v>
      </c>
      <c r="N10" s="18">
        <f t="shared" si="1"/>
        <v>19875.759999999998</v>
      </c>
      <c r="O10" s="14"/>
      <c r="AA10" s="5"/>
      <c r="AB10" s="5"/>
    </row>
    <row r="11" spans="1:31" x14ac:dyDescent="0.25">
      <c r="A11" s="19" t="s">
        <v>39</v>
      </c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AA11" s="5"/>
      <c r="AB11" s="5"/>
    </row>
    <row r="12" spans="1:31" x14ac:dyDescent="0.25">
      <c r="A12" s="21" t="s">
        <v>131</v>
      </c>
      <c r="B12" s="10"/>
      <c r="C12" s="10">
        <v>15909.76</v>
      </c>
      <c r="D12" s="10">
        <v>13136.52</v>
      </c>
      <c r="E12" s="10"/>
      <c r="F12" s="10"/>
      <c r="G12" s="10"/>
      <c r="H12" s="10"/>
      <c r="I12" s="10"/>
      <c r="J12" s="10"/>
      <c r="K12" s="10"/>
      <c r="L12" s="10"/>
      <c r="M12" s="10">
        <v>31.24</v>
      </c>
      <c r="N12" s="10"/>
      <c r="O12" s="14"/>
      <c r="AA12" s="5"/>
      <c r="AB12" s="5"/>
    </row>
    <row r="13" spans="1:31" x14ac:dyDescent="0.25">
      <c r="A13" s="20" t="s">
        <v>41</v>
      </c>
      <c r="B13" s="10"/>
      <c r="C13" s="10"/>
      <c r="D13" s="10"/>
      <c r="E13" s="10"/>
      <c r="F13" s="10"/>
      <c r="AA13" s="5"/>
      <c r="AB13" s="5"/>
    </row>
    <row r="14" spans="1:31" x14ac:dyDescent="0.25">
      <c r="A14" s="21" t="s">
        <v>42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4"/>
      <c r="AA14" s="5"/>
      <c r="AB14" s="5"/>
    </row>
    <row r="15" spans="1:31" x14ac:dyDescent="0.25">
      <c r="A15" s="21" t="s">
        <v>45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AA15" s="5"/>
      <c r="AB15" s="5"/>
    </row>
    <row r="16" spans="1:31" x14ac:dyDescent="0.25">
      <c r="A16" s="21" t="s">
        <v>46</v>
      </c>
      <c r="B16" s="10"/>
      <c r="C16" s="10"/>
      <c r="D16" s="10"/>
      <c r="E16" s="10"/>
      <c r="G16" s="10"/>
      <c r="H16" s="10"/>
      <c r="I16" s="10"/>
      <c r="J16" s="10"/>
      <c r="K16" s="10"/>
      <c r="L16" s="10"/>
      <c r="M16" s="10"/>
      <c r="N16" s="10"/>
      <c r="AA16" s="5"/>
      <c r="AB16" s="5"/>
    </row>
    <row r="17" spans="1:29" ht="15.75" customHeight="1" x14ac:dyDescent="0.25">
      <c r="A17" s="21" t="s">
        <v>47</v>
      </c>
      <c r="B17" s="10"/>
      <c r="C17" s="10"/>
      <c r="D17" s="10"/>
      <c r="E17" s="10"/>
      <c r="F17" s="10"/>
      <c r="H17" s="24"/>
      <c r="I17" s="24"/>
      <c r="J17" s="10"/>
      <c r="K17" s="10"/>
      <c r="L17" s="10"/>
      <c r="M17" s="10"/>
      <c r="N17" s="10"/>
      <c r="O17" s="25"/>
      <c r="P17" s="25"/>
      <c r="Q17" s="25"/>
      <c r="AA17" s="5"/>
      <c r="AB17" s="5"/>
    </row>
    <row r="18" spans="1:29" ht="15.75" customHeight="1" x14ac:dyDescent="0.25">
      <c r="A18" s="1" t="s">
        <v>48</v>
      </c>
      <c r="B18" s="26">
        <f t="shared" ref="B18:B20" si="2">SUM(C18:N18)</f>
        <v>29077.52</v>
      </c>
      <c r="C18" s="9">
        <f t="shared" ref="C18:N18" si="3">SUM(C12:C17)</f>
        <v>15909.76</v>
      </c>
      <c r="D18" s="9">
        <f t="shared" si="3"/>
        <v>13136.52</v>
      </c>
      <c r="E18" s="9">
        <f t="shared" si="3"/>
        <v>0</v>
      </c>
      <c r="F18" s="9">
        <f t="shared" si="3"/>
        <v>0</v>
      </c>
      <c r="G18" s="9">
        <f t="shared" si="3"/>
        <v>0</v>
      </c>
      <c r="H18" s="9">
        <f t="shared" si="3"/>
        <v>0</v>
      </c>
      <c r="I18" s="9">
        <f t="shared" si="3"/>
        <v>0</v>
      </c>
      <c r="J18" s="9">
        <f t="shared" si="3"/>
        <v>0</v>
      </c>
      <c r="K18" s="9">
        <f t="shared" si="3"/>
        <v>0</v>
      </c>
      <c r="L18" s="9">
        <f t="shared" si="3"/>
        <v>0</v>
      </c>
      <c r="M18" s="9">
        <f t="shared" si="3"/>
        <v>31.24</v>
      </c>
      <c r="N18" s="9">
        <f t="shared" si="3"/>
        <v>0</v>
      </c>
      <c r="O18" s="10"/>
      <c r="P18" s="10"/>
      <c r="Q18" s="10"/>
      <c r="AA18" s="5"/>
      <c r="AB18" s="5"/>
    </row>
    <row r="19" spans="1:29" ht="15.75" customHeight="1" x14ac:dyDescent="0.25">
      <c r="A19" s="1" t="s">
        <v>49</v>
      </c>
      <c r="B19" s="26">
        <f t="shared" si="2"/>
        <v>6761.34</v>
      </c>
      <c r="C19" s="10">
        <v>1385.94</v>
      </c>
      <c r="D19" s="10">
        <v>2340.89</v>
      </c>
      <c r="E19" s="10">
        <v>1951.05</v>
      </c>
      <c r="F19" s="10"/>
      <c r="G19" s="21"/>
      <c r="H19" s="21"/>
      <c r="I19" s="21"/>
      <c r="J19" s="21">
        <v>689.34</v>
      </c>
      <c r="K19" s="21">
        <v>165.59</v>
      </c>
      <c r="L19" s="21">
        <v>228.53</v>
      </c>
      <c r="M19" s="21"/>
      <c r="N19" s="21"/>
      <c r="O19" s="10"/>
      <c r="P19" s="10"/>
      <c r="Q19" s="10"/>
      <c r="AA19" s="5"/>
      <c r="AB19" s="5"/>
    </row>
    <row r="20" spans="1:29" ht="15.75" customHeight="1" x14ac:dyDescent="0.25">
      <c r="A20" s="1" t="s">
        <v>50</v>
      </c>
      <c r="B20" s="26">
        <f t="shared" si="2"/>
        <v>35238.639999999999</v>
      </c>
      <c r="C20" s="10">
        <v>21788.39</v>
      </c>
      <c r="D20" s="10">
        <v>405.33</v>
      </c>
      <c r="E20" s="10">
        <v>6616.78</v>
      </c>
      <c r="F20" s="10">
        <v>6428.14</v>
      </c>
      <c r="G20" s="10"/>
      <c r="H20" s="10"/>
      <c r="I20" s="10"/>
      <c r="J20" s="10"/>
      <c r="K20" s="10"/>
      <c r="L20" s="10"/>
      <c r="M20" s="10"/>
      <c r="N20" s="10"/>
      <c r="O20" s="14"/>
      <c r="P20" s="14"/>
      <c r="Q20" s="14"/>
      <c r="R20" s="14"/>
      <c r="AA20" s="5"/>
      <c r="AB20" s="5"/>
    </row>
    <row r="21" spans="1:29" ht="15.75" customHeight="1" x14ac:dyDescent="0.25">
      <c r="A21" s="1" t="s">
        <v>114</v>
      </c>
      <c r="B21" s="9">
        <f>C21+D21+E21+F21+I21</f>
        <v>19.12</v>
      </c>
      <c r="C21" s="10">
        <v>19.12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4"/>
      <c r="P21" s="14"/>
      <c r="Q21" s="14"/>
      <c r="R21" s="14"/>
      <c r="AA21" s="5"/>
      <c r="AB21" s="5"/>
    </row>
    <row r="22" spans="1:29" ht="15.75" customHeight="1" x14ac:dyDescent="0.25">
      <c r="A22" s="1" t="s">
        <v>46</v>
      </c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  <c r="P22" s="14"/>
      <c r="Q22" s="14"/>
      <c r="R22" s="14"/>
      <c r="AA22" s="5"/>
      <c r="AB22" s="5"/>
    </row>
    <row r="23" spans="1:29" ht="15.75" customHeight="1" x14ac:dyDescent="0.25">
      <c r="A23" s="1" t="s">
        <v>52</v>
      </c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R23" s="14"/>
      <c r="AA23" s="5"/>
    </row>
    <row r="24" spans="1:29" ht="15.75" customHeight="1" x14ac:dyDescent="0.25">
      <c r="A24" s="1" t="s">
        <v>53</v>
      </c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R24" s="14"/>
      <c r="AA24" s="5"/>
    </row>
    <row r="25" spans="1:29" ht="15.75" customHeight="1" x14ac:dyDescent="0.25">
      <c r="A25" s="1" t="s">
        <v>54</v>
      </c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R25" s="14"/>
      <c r="AA25" s="5"/>
    </row>
    <row r="26" spans="1:29" ht="15.75" customHeight="1" x14ac:dyDescent="0.25">
      <c r="A26" s="1" t="s">
        <v>47</v>
      </c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R26" s="14"/>
      <c r="AC26" s="27"/>
    </row>
    <row r="27" spans="1:29" ht="15.75" customHeight="1" x14ac:dyDescent="0.25">
      <c r="A27" s="1" t="s">
        <v>55</v>
      </c>
      <c r="B27" s="26">
        <f>SUM(C27:N27)</f>
        <v>35257.760000000002</v>
      </c>
      <c r="C27" s="10">
        <f t="shared" ref="C27:N27" si="4">SUM(C20:C26)</f>
        <v>21807.51</v>
      </c>
      <c r="D27" s="10">
        <f t="shared" si="4"/>
        <v>405.33</v>
      </c>
      <c r="E27" s="10">
        <f t="shared" si="4"/>
        <v>6616.78</v>
      </c>
      <c r="F27" s="10">
        <f t="shared" si="4"/>
        <v>6428.14</v>
      </c>
      <c r="G27" s="10">
        <f t="shared" si="4"/>
        <v>0</v>
      </c>
      <c r="H27" s="10">
        <f t="shared" si="4"/>
        <v>0</v>
      </c>
      <c r="I27" s="10">
        <f t="shared" si="4"/>
        <v>0</v>
      </c>
      <c r="J27" s="10">
        <f t="shared" si="4"/>
        <v>0</v>
      </c>
      <c r="K27" s="10">
        <f t="shared" si="4"/>
        <v>0</v>
      </c>
      <c r="L27" s="10">
        <f t="shared" si="4"/>
        <v>0</v>
      </c>
      <c r="M27" s="10">
        <f t="shared" si="4"/>
        <v>0</v>
      </c>
      <c r="N27" s="10">
        <f t="shared" si="4"/>
        <v>0</v>
      </c>
      <c r="R27" s="14"/>
    </row>
    <row r="28" spans="1:29" ht="15.75" customHeight="1" x14ac:dyDescent="0.25">
      <c r="A28" s="1" t="s">
        <v>56</v>
      </c>
      <c r="B28" s="26">
        <f>C28+E28+D28+F28</f>
        <v>26945.91</v>
      </c>
      <c r="C28" s="10">
        <v>15484.02</v>
      </c>
      <c r="D28" s="10">
        <v>1232.27</v>
      </c>
      <c r="E28" s="10">
        <v>1228.57</v>
      </c>
      <c r="F28" s="10">
        <v>9001.0499999999993</v>
      </c>
      <c r="H28" s="25"/>
      <c r="I28" s="25"/>
      <c r="J28" s="25"/>
      <c r="K28" s="25"/>
      <c r="L28" s="25"/>
      <c r="M28" s="25"/>
      <c r="N28" s="25"/>
    </row>
    <row r="29" spans="1:29" ht="15.75" customHeight="1" x14ac:dyDescent="0.25">
      <c r="A29" s="1" t="s">
        <v>56</v>
      </c>
      <c r="B29" s="26">
        <f t="shared" ref="B29:B31" si="5">SUM(C29:G29)</f>
        <v>16926.37</v>
      </c>
      <c r="C29" s="10">
        <v>6374.94</v>
      </c>
      <c r="D29" s="10">
        <v>853.2</v>
      </c>
      <c r="E29" s="10"/>
      <c r="F29" s="10">
        <v>9698.23</v>
      </c>
    </row>
    <row r="30" spans="1:29" ht="15.75" customHeight="1" x14ac:dyDescent="0.25">
      <c r="A30" s="1" t="s">
        <v>56</v>
      </c>
      <c r="B30" s="26">
        <f t="shared" si="5"/>
        <v>0</v>
      </c>
      <c r="C30" s="10"/>
      <c r="D30" s="10"/>
      <c r="E30" s="10"/>
      <c r="F30" s="10"/>
    </row>
    <row r="31" spans="1:29" ht="15.75" customHeight="1" x14ac:dyDescent="0.25">
      <c r="A31" s="1" t="s">
        <v>56</v>
      </c>
      <c r="B31" s="26">
        <f t="shared" si="5"/>
        <v>0</v>
      </c>
      <c r="C31" s="10"/>
      <c r="D31" s="10"/>
      <c r="E31" s="10"/>
    </row>
    <row r="32" spans="1:29" ht="15.75" customHeight="1" x14ac:dyDescent="0.25">
      <c r="A32" s="1" t="s">
        <v>57</v>
      </c>
      <c r="B32" s="15">
        <f t="shared" ref="B32:B33" si="6">SUM(C32:N32)</f>
        <v>2348890.6899999995</v>
      </c>
      <c r="C32" s="12">
        <f t="shared" ref="C32:E32" si="7">C10+C18+C19-C29-C27-C28-C30-C31</f>
        <v>468464.83000000007</v>
      </c>
      <c r="D32" s="12">
        <f t="shared" si="7"/>
        <v>871562.14000000013</v>
      </c>
      <c r="E32" s="12">
        <f t="shared" si="7"/>
        <v>709819.0199999999</v>
      </c>
      <c r="F32" s="12">
        <f>F10+F18+F19-F27-F28-F29-F30</f>
        <v>-138509.81</v>
      </c>
      <c r="G32" s="12">
        <f t="shared" ref="G32:L32" si="8">G10+G18+G19-G29-G27-G28-G30</f>
        <v>-5288.25</v>
      </c>
      <c r="H32" s="12">
        <f t="shared" si="8"/>
        <v>0</v>
      </c>
      <c r="I32" s="12">
        <f t="shared" si="8"/>
        <v>-617.19999999999709</v>
      </c>
      <c r="J32" s="12">
        <f t="shared" si="8"/>
        <v>253884.27000000002</v>
      </c>
      <c r="K32" s="12">
        <f t="shared" si="8"/>
        <v>41112.959999999992</v>
      </c>
      <c r="L32" s="12">
        <f t="shared" si="8"/>
        <v>84167.799999999988</v>
      </c>
      <c r="M32" s="12">
        <f>B55-M27</f>
        <v>44419.169999999991</v>
      </c>
      <c r="N32" s="12">
        <f>N10+N18+N19-N29-N27-N28-N30</f>
        <v>19875.759999999998</v>
      </c>
    </row>
    <row r="33" spans="1:15" ht="15.75" customHeight="1" x14ac:dyDescent="0.25">
      <c r="A33" s="1" t="s">
        <v>132</v>
      </c>
      <c r="B33" s="9">
        <f t="shared" si="6"/>
        <v>2346900.9299999997</v>
      </c>
      <c r="C33" s="12">
        <f>94323.61+9091.86+379267.6</f>
        <v>482683.06999999995</v>
      </c>
      <c r="D33" s="12">
        <f>539447.68+184435.27+148911.46</f>
        <v>872794.41</v>
      </c>
      <c r="E33" s="12">
        <f>139053.4+28592.54+543079.3</f>
        <v>710725.24</v>
      </c>
      <c r="F33" s="12">
        <f>-184970.91+55599.09</f>
        <v>-129371.82</v>
      </c>
      <c r="G33" s="12">
        <v>-5288.25</v>
      </c>
      <c r="H33" s="12">
        <v>0</v>
      </c>
      <c r="I33" s="12">
        <f>-1953.41+1336.22</f>
        <v>-617.19000000000005</v>
      </c>
      <c r="J33" s="12">
        <f>249535.26+4349.01</f>
        <v>253884.27000000002</v>
      </c>
      <c r="K33" s="12">
        <f>46092.33-14343.75+9364.38</f>
        <v>41112.959999999999</v>
      </c>
      <c r="L33" s="12">
        <f>3498.18-16464.49+97134.11</f>
        <v>84167.8</v>
      </c>
      <c r="M33" s="12">
        <v>16934.68</v>
      </c>
      <c r="N33" s="12">
        <v>19875.759999999998</v>
      </c>
    </row>
    <row r="34" spans="1:15" ht="15.75" customHeight="1" x14ac:dyDescent="0.25">
      <c r="A34" s="1" t="s">
        <v>59</v>
      </c>
      <c r="B34" s="9">
        <f t="shared" ref="B34:N34" si="9">B33-B32</f>
        <v>-1989.7599999997765</v>
      </c>
      <c r="C34" s="9">
        <f t="shared" si="9"/>
        <v>14218.239999999874</v>
      </c>
      <c r="D34" s="9">
        <f t="shared" si="9"/>
        <v>1232.2699999999022</v>
      </c>
      <c r="E34" s="9">
        <f t="shared" si="9"/>
        <v>906.22000000008848</v>
      </c>
      <c r="F34" s="9">
        <f t="shared" si="9"/>
        <v>9137.9899999999907</v>
      </c>
      <c r="G34" s="9">
        <f t="shared" si="9"/>
        <v>0</v>
      </c>
      <c r="H34" s="9">
        <f t="shared" si="9"/>
        <v>0</v>
      </c>
      <c r="I34" s="9">
        <f t="shared" si="9"/>
        <v>9.9999999970350473E-3</v>
      </c>
      <c r="J34" s="9">
        <f t="shared" si="9"/>
        <v>0</v>
      </c>
      <c r="K34" s="9">
        <f t="shared" si="9"/>
        <v>0</v>
      </c>
      <c r="L34" s="9">
        <f t="shared" si="9"/>
        <v>0</v>
      </c>
      <c r="M34" s="9">
        <f t="shared" si="9"/>
        <v>-27484.489999999991</v>
      </c>
      <c r="N34" s="9">
        <f t="shared" si="9"/>
        <v>0</v>
      </c>
      <c r="O34" s="12"/>
    </row>
    <row r="35" spans="1:15" ht="15.75" customHeight="1" x14ac:dyDescent="0.25">
      <c r="A35" s="28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5" ht="15.75" customHeight="1" x14ac:dyDescent="0.25">
      <c r="A36" s="29" t="s">
        <v>61</v>
      </c>
      <c r="B36" s="16">
        <f>M7</f>
        <v>44279.43</v>
      </c>
      <c r="C36" s="17" t="s">
        <v>3</v>
      </c>
      <c r="D36" s="17" t="s">
        <v>4</v>
      </c>
      <c r="E36" s="17" t="s">
        <v>5</v>
      </c>
      <c r="F36" s="17" t="s">
        <v>6</v>
      </c>
      <c r="G36" s="17" t="s">
        <v>118</v>
      </c>
      <c r="H36" s="17" t="s">
        <v>35</v>
      </c>
      <c r="I36" s="17" t="s">
        <v>8</v>
      </c>
      <c r="J36" s="17" t="s">
        <v>36</v>
      </c>
      <c r="K36" s="17" t="s">
        <v>37</v>
      </c>
      <c r="L36" s="17" t="s">
        <v>38</v>
      </c>
      <c r="M36" s="17" t="s">
        <v>12</v>
      </c>
      <c r="N36" s="17" t="s">
        <v>13</v>
      </c>
    </row>
    <row r="37" spans="1:15" ht="15.75" customHeight="1" x14ac:dyDescent="0.25">
      <c r="A37" s="19" t="s">
        <v>62</v>
      </c>
      <c r="B37" s="10">
        <f t="shared" ref="B37:B40" si="10">C37+E37+D37+F37</f>
        <v>26945.91</v>
      </c>
      <c r="C37" s="10">
        <v>15484.02</v>
      </c>
      <c r="D37" s="10">
        <v>1232.27</v>
      </c>
      <c r="E37" s="10">
        <v>1228.57</v>
      </c>
      <c r="F37" s="10">
        <v>9001.0499999999993</v>
      </c>
      <c r="H37" s="25"/>
      <c r="I37" s="25"/>
      <c r="J37" s="25"/>
      <c r="K37" s="25"/>
      <c r="L37" s="25"/>
      <c r="M37" s="25"/>
      <c r="N37" s="25"/>
    </row>
    <row r="38" spans="1:15" ht="15.75" customHeight="1" x14ac:dyDescent="0.25">
      <c r="A38" s="10"/>
      <c r="B38" s="10">
        <f t="shared" si="10"/>
        <v>16926.37</v>
      </c>
      <c r="C38" s="10">
        <v>6374.94</v>
      </c>
      <c r="D38" s="10">
        <v>853.2</v>
      </c>
      <c r="E38" s="10"/>
      <c r="F38" s="10">
        <v>9698.23</v>
      </c>
      <c r="H38" s="25"/>
      <c r="I38" s="25"/>
      <c r="J38" s="25"/>
      <c r="K38" s="25"/>
      <c r="L38" s="25"/>
      <c r="M38" s="25"/>
      <c r="N38" s="25"/>
    </row>
    <row r="39" spans="1:15" ht="15.75" customHeight="1" x14ac:dyDescent="0.25">
      <c r="A39" s="21"/>
      <c r="B39" s="10">
        <f t="shared" si="10"/>
        <v>0</v>
      </c>
      <c r="C39" s="10"/>
      <c r="D39" s="10"/>
      <c r="E39" s="10"/>
      <c r="F39" s="10"/>
      <c r="H39" s="25"/>
      <c r="I39" s="25"/>
      <c r="J39" s="25"/>
      <c r="K39" s="25"/>
      <c r="L39" s="25"/>
      <c r="M39" s="25"/>
      <c r="N39" s="25"/>
    </row>
    <row r="40" spans="1:15" ht="15.75" customHeight="1" x14ac:dyDescent="0.25">
      <c r="A40" s="21"/>
      <c r="B40" s="10">
        <f t="shared" si="10"/>
        <v>0</v>
      </c>
      <c r="C40" s="10"/>
      <c r="D40" s="10"/>
      <c r="E40" s="10"/>
      <c r="F40" s="10"/>
      <c r="H40" s="21"/>
      <c r="I40" s="21"/>
      <c r="J40" s="21"/>
      <c r="K40" s="21"/>
      <c r="L40" s="21"/>
      <c r="M40" s="21"/>
      <c r="N40" s="21"/>
    </row>
    <row r="41" spans="1:15" ht="15.75" customHeight="1" x14ac:dyDescent="0.25">
      <c r="A41" s="21"/>
      <c r="B41" s="10">
        <f>C41+D41+E41</f>
        <v>0</v>
      </c>
      <c r="C41" s="10"/>
      <c r="D41" s="10"/>
      <c r="E41" s="10"/>
      <c r="F41" s="10"/>
      <c r="H41" s="21"/>
      <c r="I41" s="21"/>
      <c r="J41" s="21"/>
      <c r="K41" s="21"/>
      <c r="L41" s="21"/>
      <c r="M41" s="21"/>
      <c r="N41" s="21"/>
    </row>
    <row r="42" spans="1:15" ht="15.75" customHeight="1" x14ac:dyDescent="0.25">
      <c r="A42" s="1" t="s">
        <v>63</v>
      </c>
      <c r="B42" s="26">
        <f t="shared" ref="B42:B43" si="11">M42</f>
        <v>43872.28</v>
      </c>
      <c r="C42" s="10">
        <f t="shared" ref="C42:L42" si="12">SUM(C37:C41)</f>
        <v>21858.959999999999</v>
      </c>
      <c r="D42" s="10">
        <f t="shared" si="12"/>
        <v>2085.4700000000003</v>
      </c>
      <c r="E42" s="10">
        <f t="shared" si="12"/>
        <v>1228.57</v>
      </c>
      <c r="F42" s="10">
        <f t="shared" si="12"/>
        <v>18699.28</v>
      </c>
      <c r="G42" s="10">
        <f t="shared" si="12"/>
        <v>0</v>
      </c>
      <c r="H42" s="10">
        <f t="shared" si="12"/>
        <v>0</v>
      </c>
      <c r="I42" s="10">
        <f t="shared" si="12"/>
        <v>0</v>
      </c>
      <c r="J42" s="10">
        <f t="shared" si="12"/>
        <v>0</v>
      </c>
      <c r="K42" s="10">
        <f t="shared" si="12"/>
        <v>0</v>
      </c>
      <c r="L42" s="10">
        <f t="shared" si="12"/>
        <v>0</v>
      </c>
      <c r="M42" s="26">
        <f>SUM(C42:L42)</f>
        <v>43872.28</v>
      </c>
      <c r="N42" s="9"/>
    </row>
    <row r="43" spans="1:15" ht="15.75" customHeight="1" x14ac:dyDescent="0.25">
      <c r="A43" s="1" t="s">
        <v>49</v>
      </c>
      <c r="B43" s="26">
        <f t="shared" si="11"/>
        <v>0</v>
      </c>
      <c r="D43" s="10"/>
      <c r="E43" s="10"/>
      <c r="F43" s="10"/>
      <c r="H43" s="9"/>
      <c r="I43" s="9"/>
      <c r="J43" s="9"/>
      <c r="K43" s="9"/>
      <c r="L43" s="9"/>
      <c r="M43" s="26"/>
      <c r="N43" s="9"/>
    </row>
    <row r="44" spans="1:15" ht="15.75" customHeight="1" x14ac:dyDescent="0.25">
      <c r="A44" s="1" t="s">
        <v>64</v>
      </c>
      <c r="B44" s="9"/>
      <c r="C44" s="10"/>
      <c r="D44" s="10"/>
      <c r="E44" s="10"/>
      <c r="F44" s="10"/>
      <c r="H44" s="10"/>
      <c r="I44" s="10"/>
      <c r="J44" s="10"/>
      <c r="K44" s="10"/>
      <c r="L44" s="10"/>
      <c r="M44" s="10"/>
      <c r="N44" s="10"/>
    </row>
    <row r="45" spans="1:15" ht="15.75" customHeight="1" x14ac:dyDescent="0.25">
      <c r="A45" s="21" t="s">
        <v>65</v>
      </c>
      <c r="C45" s="10"/>
      <c r="D45" s="10"/>
      <c r="E45" s="10"/>
      <c r="F45" s="10"/>
      <c r="H45" s="10"/>
      <c r="I45" s="10"/>
      <c r="J45" s="10"/>
      <c r="K45" s="10"/>
      <c r="L45" s="10"/>
      <c r="M45" s="10">
        <v>28407.81</v>
      </c>
      <c r="N45" s="10"/>
      <c r="O45" s="10"/>
    </row>
    <row r="46" spans="1:15" ht="15.75" customHeight="1" x14ac:dyDescent="0.25">
      <c r="A46" s="21" t="s">
        <v>66</v>
      </c>
      <c r="C46" s="10"/>
      <c r="D46" s="10"/>
      <c r="E46" s="10"/>
      <c r="F46" s="10"/>
      <c r="H46" s="10"/>
      <c r="I46" s="10"/>
      <c r="J46" s="10"/>
      <c r="K46" s="10"/>
      <c r="L46" s="10"/>
      <c r="M46" s="10">
        <v>1819.2</v>
      </c>
      <c r="N46" s="10"/>
    </row>
    <row r="47" spans="1:15" ht="15.75" customHeight="1" x14ac:dyDescent="0.25">
      <c r="A47" s="21" t="s">
        <v>67</v>
      </c>
      <c r="C47" s="10"/>
      <c r="D47" s="10"/>
      <c r="E47" s="10"/>
      <c r="F47" s="10"/>
      <c r="H47" s="10"/>
      <c r="I47" s="10"/>
      <c r="J47" s="10"/>
      <c r="K47" s="10"/>
      <c r="L47" s="10"/>
      <c r="M47" s="10">
        <v>9360.56</v>
      </c>
      <c r="N47" s="10"/>
    </row>
    <row r="48" spans="1:15" ht="15.75" customHeight="1" x14ac:dyDescent="0.25">
      <c r="A48" s="21" t="s">
        <v>68</v>
      </c>
      <c r="B48" s="10"/>
      <c r="C48" s="10"/>
      <c r="D48" s="10"/>
      <c r="E48" s="10"/>
      <c r="F48" s="10"/>
      <c r="H48" s="10"/>
      <c r="I48" s="10"/>
      <c r="J48" s="10"/>
      <c r="K48" s="10"/>
      <c r="L48" s="10"/>
      <c r="M48" s="10">
        <v>1431.59</v>
      </c>
      <c r="N48" s="10"/>
    </row>
    <row r="49" spans="1:14" ht="15.75" customHeight="1" x14ac:dyDescent="0.25">
      <c r="A49" s="21" t="s">
        <v>69</v>
      </c>
      <c r="B49" s="10"/>
      <c r="C49" s="10"/>
      <c r="D49" s="10"/>
      <c r="E49" s="10"/>
      <c r="F49" s="10"/>
      <c r="H49" s="10"/>
      <c r="I49" s="10"/>
      <c r="J49" s="10"/>
      <c r="K49" s="10"/>
      <c r="L49" s="10"/>
      <c r="M49" s="10">
        <v>124</v>
      </c>
      <c r="N49" s="10"/>
    </row>
    <row r="50" spans="1:14" ht="15.75" customHeight="1" x14ac:dyDescent="0.25">
      <c r="A50" s="21" t="s">
        <v>70</v>
      </c>
      <c r="B50" s="10"/>
      <c r="C50" s="10"/>
      <c r="D50" s="10"/>
      <c r="E50" s="10"/>
      <c r="F50" s="10"/>
      <c r="H50" s="10"/>
      <c r="I50" s="10"/>
      <c r="J50" s="10"/>
      <c r="K50" s="10"/>
      <c r="L50" s="10"/>
      <c r="M50" s="10">
        <v>1278.23</v>
      </c>
      <c r="N50" s="10"/>
    </row>
    <row r="51" spans="1:14" ht="15.75" customHeight="1" x14ac:dyDescent="0.25">
      <c r="A51" s="21" t="s">
        <v>71</v>
      </c>
      <c r="B51" s="10"/>
      <c r="C51" s="10"/>
      <c r="D51" s="10"/>
      <c r="E51" s="10"/>
      <c r="F51" s="10"/>
      <c r="H51" s="10"/>
      <c r="I51" s="10"/>
      <c r="J51" s="10"/>
      <c r="K51" s="10"/>
      <c r="L51" s="10"/>
      <c r="M51" s="10">
        <v>957.52</v>
      </c>
      <c r="N51" s="10"/>
    </row>
    <row r="52" spans="1:14" ht="15.75" customHeight="1" x14ac:dyDescent="0.25">
      <c r="A52" s="21" t="s">
        <v>72</v>
      </c>
      <c r="B52" s="10"/>
      <c r="C52" s="10"/>
      <c r="D52" s="10"/>
      <c r="E52" s="10"/>
      <c r="F52" s="10"/>
      <c r="H52" s="10"/>
      <c r="I52" s="10"/>
      <c r="J52" s="10"/>
      <c r="K52" s="10"/>
      <c r="L52" s="10"/>
      <c r="M52" s="10">
        <v>384.87</v>
      </c>
      <c r="N52" s="10"/>
    </row>
    <row r="53" spans="1:14" ht="15.75" customHeight="1" x14ac:dyDescent="0.25">
      <c r="A53" s="21" t="s">
        <v>73</v>
      </c>
      <c r="B53" s="10"/>
      <c r="C53" s="10"/>
      <c r="D53" s="10"/>
      <c r="E53" s="10"/>
      <c r="F53" s="10"/>
      <c r="H53" s="10"/>
      <c r="I53" s="10"/>
      <c r="J53" s="10"/>
      <c r="K53" s="10"/>
      <c r="L53" s="10"/>
      <c r="M53" s="10">
        <v>-31.24</v>
      </c>
      <c r="N53" s="10"/>
    </row>
    <row r="54" spans="1:14" ht="15.75" customHeight="1" x14ac:dyDescent="0.25">
      <c r="A54" s="1" t="s">
        <v>74</v>
      </c>
      <c r="B54" s="26">
        <f>SUM(C54:M54)</f>
        <v>43732.54</v>
      </c>
      <c r="C54" s="10"/>
      <c r="D54" s="10"/>
      <c r="E54" s="10"/>
      <c r="F54" s="10"/>
      <c r="H54" s="9"/>
      <c r="I54" s="9"/>
      <c r="J54" s="9"/>
      <c r="K54" s="9"/>
      <c r="L54" s="9"/>
      <c r="M54" s="26">
        <f>SUM(M45:M53)</f>
        <v>43732.54</v>
      </c>
      <c r="N54" s="9"/>
    </row>
    <row r="55" spans="1:14" ht="15.75" customHeight="1" x14ac:dyDescent="0.25">
      <c r="A55" s="1" t="s">
        <v>57</v>
      </c>
      <c r="B55" s="15">
        <f>B36+B42+B43-B54</f>
        <v>44419.169999999991</v>
      </c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14" ht="15.75" customHeight="1" x14ac:dyDescent="0.25">
      <c r="A56" s="1"/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ht="15.75" customHeight="1" x14ac:dyDescent="0.25">
      <c r="A57" s="2" t="s">
        <v>75</v>
      </c>
      <c r="B57" s="3" t="s">
        <v>2</v>
      </c>
      <c r="C57" s="4" t="s">
        <v>3</v>
      </c>
      <c r="D57" s="4" t="s">
        <v>4</v>
      </c>
      <c r="E57" s="4" t="s">
        <v>5</v>
      </c>
      <c r="F57" s="4" t="s">
        <v>6</v>
      </c>
      <c r="G57" s="4" t="s">
        <v>7</v>
      </c>
      <c r="H57" s="4" t="s">
        <v>7</v>
      </c>
      <c r="I57" s="4" t="s">
        <v>8</v>
      </c>
      <c r="J57" s="4" t="s">
        <v>9</v>
      </c>
      <c r="K57" s="4" t="s">
        <v>9</v>
      </c>
      <c r="L57" s="4" t="s">
        <v>9</v>
      </c>
      <c r="M57" s="4" t="s">
        <v>12</v>
      </c>
      <c r="N57" s="4" t="s">
        <v>13</v>
      </c>
    </row>
    <row r="58" spans="1:14" ht="15.75" customHeight="1" x14ac:dyDescent="0.25">
      <c r="A58" s="6" t="s">
        <v>14</v>
      </c>
      <c r="B58" s="6" t="s">
        <v>76</v>
      </c>
      <c r="C58" s="7" t="s">
        <v>16</v>
      </c>
      <c r="D58" s="7" t="s">
        <v>17</v>
      </c>
      <c r="E58" s="7" t="s">
        <v>18</v>
      </c>
      <c r="F58" s="7" t="s">
        <v>19</v>
      </c>
      <c r="G58" s="7" t="s">
        <v>117</v>
      </c>
      <c r="H58" s="7" t="s">
        <v>21</v>
      </c>
      <c r="I58" s="7" t="s">
        <v>22</v>
      </c>
      <c r="J58" s="7" t="s">
        <v>77</v>
      </c>
      <c r="K58" s="7" t="s">
        <v>24</v>
      </c>
      <c r="L58" s="7" t="s">
        <v>25</v>
      </c>
      <c r="M58" s="7" t="s">
        <v>26</v>
      </c>
      <c r="N58" s="7" t="s">
        <v>27</v>
      </c>
    </row>
    <row r="59" spans="1:14" ht="15.75" customHeight="1" x14ac:dyDescent="0.25">
      <c r="A59" s="8" t="s">
        <v>28</v>
      </c>
      <c r="B59" s="9">
        <f t="shared" ref="B59:B60" si="13">SUM(C59:N59)</f>
        <v>44419.169999999991</v>
      </c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>
        <f>B55</f>
        <v>44419.169999999991</v>
      </c>
      <c r="N59" s="10"/>
    </row>
    <row r="60" spans="1:14" ht="15.75" customHeight="1" x14ac:dyDescent="0.25">
      <c r="A60" s="8" t="s">
        <v>78</v>
      </c>
      <c r="B60" s="9">
        <f t="shared" si="13"/>
        <v>2304471.5199999996</v>
      </c>
      <c r="C60" s="12">
        <f t="shared" ref="C60:L60" si="14">C32</f>
        <v>468464.83000000007</v>
      </c>
      <c r="D60" s="12">
        <f t="shared" si="14"/>
        <v>871562.14000000013</v>
      </c>
      <c r="E60" s="12">
        <f t="shared" si="14"/>
        <v>709819.0199999999</v>
      </c>
      <c r="F60" s="12">
        <f t="shared" si="14"/>
        <v>-138509.81</v>
      </c>
      <c r="G60" s="10">
        <f t="shared" si="14"/>
        <v>-5288.25</v>
      </c>
      <c r="H60" s="10">
        <f t="shared" si="14"/>
        <v>0</v>
      </c>
      <c r="I60" s="10">
        <f t="shared" si="14"/>
        <v>-617.19999999999709</v>
      </c>
      <c r="J60" s="10">
        <f t="shared" si="14"/>
        <v>253884.27000000002</v>
      </c>
      <c r="K60" s="10">
        <f t="shared" si="14"/>
        <v>41112.959999999992</v>
      </c>
      <c r="L60" s="10">
        <f t="shared" si="14"/>
        <v>84167.799999999988</v>
      </c>
      <c r="M60" s="10"/>
      <c r="N60" s="10">
        <f>N32</f>
        <v>19875.759999999998</v>
      </c>
    </row>
    <row r="61" spans="1:14" ht="15.75" customHeight="1" x14ac:dyDescent="0.25">
      <c r="A61" s="8"/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ht="15.75" customHeight="1" x14ac:dyDescent="0.25">
      <c r="A62" s="1" t="s">
        <v>32</v>
      </c>
      <c r="B62" s="15">
        <f>SUM(C62:N62)</f>
        <v>2348890.6899999995</v>
      </c>
      <c r="C62" s="15">
        <f t="shared" ref="C62:N62" si="15">SUM(C59:C60)</f>
        <v>468464.83000000007</v>
      </c>
      <c r="D62" s="15">
        <f t="shared" si="15"/>
        <v>871562.14000000013</v>
      </c>
      <c r="E62" s="15">
        <f t="shared" si="15"/>
        <v>709819.0199999999</v>
      </c>
      <c r="F62" s="15">
        <f t="shared" si="15"/>
        <v>-138509.81</v>
      </c>
      <c r="G62" s="15">
        <f t="shared" si="15"/>
        <v>-5288.25</v>
      </c>
      <c r="H62" s="15">
        <f t="shared" si="15"/>
        <v>0</v>
      </c>
      <c r="I62" s="15">
        <f t="shared" si="15"/>
        <v>-617.19999999999709</v>
      </c>
      <c r="J62" s="15">
        <f t="shared" si="15"/>
        <v>253884.27000000002</v>
      </c>
      <c r="K62" s="15">
        <f t="shared" si="15"/>
        <v>41112.959999999992</v>
      </c>
      <c r="L62" s="15">
        <f t="shared" si="15"/>
        <v>84167.799999999988</v>
      </c>
      <c r="M62" s="15">
        <f t="shared" si="15"/>
        <v>44419.169999999991</v>
      </c>
      <c r="N62" s="15">
        <f t="shared" si="15"/>
        <v>19875.759999999998</v>
      </c>
    </row>
    <row r="63" spans="1:14" ht="15.75" customHeight="1" x14ac:dyDescent="0.25">
      <c r="A63" s="21"/>
      <c r="B63" s="21"/>
      <c r="C63" s="10"/>
      <c r="D63" s="10"/>
      <c r="E63" s="10"/>
      <c r="F63" s="10"/>
    </row>
    <row r="64" spans="1:14" ht="15.75" customHeight="1" x14ac:dyDescent="0.25">
      <c r="A64" s="21" t="str">
        <f>A1</f>
        <v xml:space="preserve">Month: August 2025                                                                                                                                </v>
      </c>
      <c r="B64" s="21"/>
      <c r="D64" s="10"/>
      <c r="E64" s="10"/>
      <c r="G64" s="10"/>
      <c r="H64" s="10"/>
      <c r="I64" s="10"/>
    </row>
    <row r="65" spans="1:19" ht="15.75" customHeight="1" x14ac:dyDescent="0.25">
      <c r="A65" s="10"/>
      <c r="B65" s="27" t="s">
        <v>79</v>
      </c>
      <c r="C65" s="27" t="s">
        <v>80</v>
      </c>
      <c r="D65" s="27" t="s">
        <v>81</v>
      </c>
      <c r="E65" s="27" t="s">
        <v>82</v>
      </c>
      <c r="F65" s="11" t="s">
        <v>83</v>
      </c>
      <c r="G65" s="10"/>
      <c r="H65" s="10"/>
      <c r="I65" s="10"/>
    </row>
    <row r="66" spans="1:19" ht="15.75" customHeight="1" x14ac:dyDescent="0.25">
      <c r="A66" s="30" t="s">
        <v>84</v>
      </c>
      <c r="B66" s="10"/>
      <c r="C66" s="10">
        <v>333568.53999999998</v>
      </c>
      <c r="D66" s="10">
        <f>C91</f>
        <v>29887.000000000004</v>
      </c>
      <c r="E66" s="10">
        <f>D87</f>
        <v>12519.27</v>
      </c>
      <c r="F66" s="10">
        <f t="shared" ref="F66:F67" si="16">(C66-D66+E66)-B66</f>
        <v>316200.81</v>
      </c>
      <c r="G66" s="10"/>
      <c r="H66" s="10"/>
      <c r="I66" s="10">
        <f>C66-D66</f>
        <v>303681.53999999998</v>
      </c>
      <c r="O66" s="14"/>
    </row>
    <row r="67" spans="1:19" ht="15.75" customHeight="1" x14ac:dyDescent="0.25">
      <c r="A67" s="30" t="s">
        <v>85</v>
      </c>
      <c r="B67" s="10">
        <f>B33-M33</f>
        <v>2329966.2499999995</v>
      </c>
      <c r="C67" s="10">
        <f>1810293.35+175420.85</f>
        <v>1985714.2000000002</v>
      </c>
      <c r="D67" s="10">
        <f>D83</f>
        <v>0</v>
      </c>
      <c r="E67" s="10">
        <f>E79</f>
        <v>0</v>
      </c>
      <c r="F67" s="10">
        <f t="shared" si="16"/>
        <v>-344252.04999999935</v>
      </c>
      <c r="H67" s="10"/>
      <c r="I67" s="10">
        <f>C67+E67</f>
        <v>1985714.2000000002</v>
      </c>
    </row>
    <row r="68" spans="1:19" ht="15.75" customHeight="1" x14ac:dyDescent="0.25">
      <c r="A68" s="30"/>
      <c r="B68" s="10"/>
      <c r="C68" s="10"/>
      <c r="D68" s="10"/>
      <c r="F68" s="31">
        <f>F66+F67</f>
        <v>-28051.23999999935</v>
      </c>
      <c r="G68" s="10"/>
      <c r="H68" s="10"/>
      <c r="I68" s="10">
        <f>I66+I67</f>
        <v>2289395.7400000002</v>
      </c>
      <c r="O68" s="14"/>
    </row>
    <row r="69" spans="1:19" ht="15.75" customHeight="1" x14ac:dyDescent="0.25">
      <c r="A69" s="30" t="s">
        <v>28</v>
      </c>
      <c r="B69" s="10">
        <f>B55</f>
        <v>44419.169999999991</v>
      </c>
      <c r="C69" s="10">
        <v>51070.15</v>
      </c>
      <c r="D69" s="10">
        <f>J84</f>
        <v>738.64</v>
      </c>
      <c r="E69" s="10">
        <f>J89</f>
        <v>0</v>
      </c>
      <c r="F69" s="10">
        <f>(C69-D69+E69)-B69</f>
        <v>5912.3400000000111</v>
      </c>
      <c r="G69" s="10"/>
      <c r="H69" s="10"/>
      <c r="I69" s="10"/>
    </row>
    <row r="70" spans="1:19" ht="15.75" customHeight="1" x14ac:dyDescent="0.25">
      <c r="A70" s="8"/>
      <c r="B70" s="10"/>
      <c r="C70" s="10" t="s">
        <v>86</v>
      </c>
      <c r="D70" s="10"/>
      <c r="E70" s="10" t="s">
        <v>87</v>
      </c>
      <c r="F70" s="31">
        <f>F68+F69</f>
        <v>-22138.899999999339</v>
      </c>
      <c r="G70" s="10"/>
      <c r="H70" s="10"/>
      <c r="I70" s="10"/>
      <c r="J70" s="32"/>
      <c r="K70" s="32"/>
      <c r="L70" s="32"/>
      <c r="M70" s="32"/>
      <c r="N70" s="32"/>
    </row>
    <row r="71" spans="1:19" ht="15.75" customHeight="1" x14ac:dyDescent="0.25">
      <c r="A71" s="8"/>
      <c r="B71" s="10"/>
      <c r="C71" s="10"/>
      <c r="D71" s="10"/>
      <c r="E71" s="10"/>
      <c r="F71" s="10"/>
      <c r="G71" s="10"/>
      <c r="H71" s="10"/>
      <c r="I71" s="10"/>
      <c r="J71" s="32"/>
      <c r="K71" s="32"/>
      <c r="L71" s="32"/>
      <c r="M71" s="32"/>
      <c r="N71" s="32"/>
    </row>
    <row r="72" spans="1:19" ht="15.75" customHeight="1" x14ac:dyDescent="0.25">
      <c r="A72" s="27"/>
      <c r="B72" s="69" t="s">
        <v>88</v>
      </c>
      <c r="C72" s="70"/>
      <c r="D72" s="71" t="s">
        <v>89</v>
      </c>
      <c r="E72" s="72"/>
      <c r="F72" s="23" t="s">
        <v>90</v>
      </c>
      <c r="J72" s="33" t="s">
        <v>91</v>
      </c>
      <c r="K72" s="34"/>
      <c r="L72" s="34"/>
      <c r="M72" s="32"/>
      <c r="N72" s="32"/>
      <c r="O72" s="32"/>
      <c r="P72" s="32"/>
      <c r="Q72" s="32"/>
    </row>
    <row r="73" spans="1:19" ht="15.75" customHeight="1" x14ac:dyDescent="0.25">
      <c r="A73" s="52">
        <v>45672</v>
      </c>
      <c r="B73" s="54">
        <v>18767</v>
      </c>
      <c r="C73" s="53">
        <v>6170</v>
      </c>
      <c r="D73" s="36" t="s">
        <v>92</v>
      </c>
      <c r="E73" s="37">
        <v>0</v>
      </c>
      <c r="H73" s="35">
        <v>45883</v>
      </c>
      <c r="I73" s="23">
        <v>8495</v>
      </c>
      <c r="J73" s="23">
        <v>263.51</v>
      </c>
      <c r="L73" s="8"/>
      <c r="S73" s="14"/>
    </row>
    <row r="74" spans="1:19" ht="15.75" customHeight="1" x14ac:dyDescent="0.25">
      <c r="A74" s="52">
        <v>45700</v>
      </c>
      <c r="B74" s="54">
        <v>18812</v>
      </c>
      <c r="C74" s="53">
        <v>220</v>
      </c>
      <c r="D74" s="38" t="s">
        <v>93</v>
      </c>
      <c r="E74" s="39">
        <v>0</v>
      </c>
      <c r="F74" s="22"/>
      <c r="H74" s="35">
        <v>45895</v>
      </c>
      <c r="I74" s="23">
        <v>8521</v>
      </c>
      <c r="J74" s="23">
        <v>227.13</v>
      </c>
      <c r="L74" s="8"/>
      <c r="S74" s="14"/>
    </row>
    <row r="75" spans="1:19" ht="15.75" customHeight="1" x14ac:dyDescent="0.25">
      <c r="A75" s="52">
        <v>45728</v>
      </c>
      <c r="B75" s="54">
        <v>18859</v>
      </c>
      <c r="C75" s="53">
        <v>61.04</v>
      </c>
      <c r="D75" s="38" t="s">
        <v>94</v>
      </c>
      <c r="E75" s="39">
        <v>0</v>
      </c>
      <c r="F75" s="22"/>
      <c r="H75" s="52">
        <v>45895</v>
      </c>
      <c r="I75" s="54">
        <v>8522</v>
      </c>
      <c r="J75" s="53">
        <v>248</v>
      </c>
      <c r="K75" s="8"/>
      <c r="L75" s="8"/>
      <c r="S75" s="14"/>
    </row>
    <row r="76" spans="1:19" ht="15.75" customHeight="1" x14ac:dyDescent="0.25">
      <c r="A76" s="52">
        <v>45728</v>
      </c>
      <c r="B76" s="54">
        <v>18866</v>
      </c>
      <c r="C76" s="53">
        <v>2500</v>
      </c>
      <c r="D76" s="38" t="s">
        <v>95</v>
      </c>
      <c r="E76" s="39">
        <v>0</v>
      </c>
      <c r="F76" s="22"/>
      <c r="H76" s="52"/>
      <c r="I76" s="54"/>
      <c r="J76" s="53"/>
      <c r="K76" s="8"/>
      <c r="L76" s="8"/>
      <c r="S76" s="14"/>
    </row>
    <row r="77" spans="1:19" ht="15.75" customHeight="1" x14ac:dyDescent="0.25">
      <c r="A77" s="52">
        <v>45847</v>
      </c>
      <c r="B77" s="54">
        <v>19034</v>
      </c>
      <c r="C77" s="53">
        <v>7709.38</v>
      </c>
      <c r="D77" s="38" t="s">
        <v>96</v>
      </c>
      <c r="E77" s="39">
        <v>0</v>
      </c>
      <c r="H77" s="52"/>
      <c r="I77" s="54"/>
      <c r="J77" s="53"/>
      <c r="K77" s="8"/>
      <c r="L77" s="8"/>
      <c r="S77" s="14"/>
    </row>
    <row r="78" spans="1:19" ht="15.75" customHeight="1" x14ac:dyDescent="0.25">
      <c r="A78" s="52">
        <v>45882</v>
      </c>
      <c r="B78" s="54">
        <v>19060</v>
      </c>
      <c r="C78" s="53">
        <v>260.60000000000002</v>
      </c>
      <c r="D78" s="38" t="s">
        <v>97</v>
      </c>
      <c r="E78" s="39">
        <v>0</v>
      </c>
      <c r="F78" s="73" t="s">
        <v>98</v>
      </c>
      <c r="G78" s="72"/>
      <c r="H78" s="35"/>
      <c r="J78" s="53"/>
      <c r="K78" s="8"/>
      <c r="L78" s="8"/>
      <c r="S78" s="14"/>
    </row>
    <row r="79" spans="1:19" ht="15.75" customHeight="1" x14ac:dyDescent="0.25">
      <c r="A79" s="52">
        <v>45882</v>
      </c>
      <c r="B79" s="54">
        <v>19067</v>
      </c>
      <c r="C79" s="53">
        <v>1600</v>
      </c>
      <c r="D79" s="40"/>
      <c r="E79" s="41">
        <f>E73+E74+E75+E76+E77+E78</f>
        <v>0</v>
      </c>
      <c r="F79" s="42"/>
      <c r="G79" s="43"/>
      <c r="H79" s="35"/>
      <c r="J79" s="53"/>
      <c r="K79" s="8"/>
      <c r="L79" s="8"/>
      <c r="S79" s="14"/>
    </row>
    <row r="80" spans="1:19" ht="15.75" customHeight="1" x14ac:dyDescent="0.25">
      <c r="A80" s="52">
        <v>45882</v>
      </c>
      <c r="B80" s="54">
        <v>19082</v>
      </c>
      <c r="C80" s="53">
        <v>197.13</v>
      </c>
      <c r="D80" s="44" t="s">
        <v>99</v>
      </c>
      <c r="F80" s="23" t="s">
        <v>100</v>
      </c>
      <c r="G80" s="27"/>
      <c r="H80" s="35"/>
      <c r="J80" s="53"/>
      <c r="K80" s="8"/>
      <c r="L80" s="8"/>
      <c r="S80" s="14"/>
    </row>
    <row r="81" spans="1:19" ht="15.75" customHeight="1" x14ac:dyDescent="0.25">
      <c r="A81" s="52">
        <v>45882</v>
      </c>
      <c r="B81" s="54">
        <v>19085</v>
      </c>
      <c r="C81" s="53">
        <v>72</v>
      </c>
      <c r="D81" s="45"/>
      <c r="F81" s="23" t="s">
        <v>101</v>
      </c>
      <c r="G81" s="27"/>
      <c r="H81" s="27"/>
      <c r="I81" s="27"/>
      <c r="J81" s="10"/>
      <c r="K81" s="8"/>
      <c r="L81" s="8"/>
      <c r="S81" s="14"/>
    </row>
    <row r="82" spans="1:19" ht="15.75" customHeight="1" x14ac:dyDescent="0.25">
      <c r="A82" s="52">
        <v>45895</v>
      </c>
      <c r="B82" s="54">
        <v>19090</v>
      </c>
      <c r="C82" s="56">
        <v>1049.56</v>
      </c>
      <c r="D82" s="14"/>
      <c r="F82" s="23" t="s">
        <v>102</v>
      </c>
      <c r="G82" s="27"/>
      <c r="H82" s="27"/>
      <c r="I82" s="27"/>
      <c r="J82" s="10"/>
      <c r="K82" s="8"/>
      <c r="L82" s="8"/>
      <c r="S82" s="14"/>
    </row>
    <row r="83" spans="1:19" ht="15.75" customHeight="1" x14ac:dyDescent="0.25">
      <c r="A83" s="52">
        <v>45895</v>
      </c>
      <c r="B83" s="54">
        <v>19091</v>
      </c>
      <c r="C83" s="53">
        <v>10047.290000000001</v>
      </c>
      <c r="D83" s="46">
        <f>SUM(D81:D82)</f>
        <v>0</v>
      </c>
      <c r="F83" s="23" t="s">
        <v>103</v>
      </c>
      <c r="G83" s="27"/>
      <c r="H83" s="27"/>
      <c r="I83" s="27"/>
      <c r="J83" s="10"/>
      <c r="K83" s="8"/>
      <c r="L83" s="8"/>
      <c r="S83" s="14"/>
    </row>
    <row r="84" spans="1:19" ht="15.75" customHeight="1" x14ac:dyDescent="0.25">
      <c r="A84" s="52"/>
      <c r="B84" s="54"/>
      <c r="C84" s="53"/>
      <c r="F84" s="23" t="s">
        <v>104</v>
      </c>
      <c r="G84" s="27"/>
      <c r="H84" s="27"/>
      <c r="I84" s="27"/>
      <c r="J84" s="47">
        <f>SUM(J73:J83)</f>
        <v>738.64</v>
      </c>
      <c r="K84" s="8"/>
      <c r="L84" s="8"/>
      <c r="S84" s="14"/>
    </row>
    <row r="85" spans="1:19" ht="15.75" customHeight="1" x14ac:dyDescent="0.25">
      <c r="A85" s="52"/>
      <c r="B85" s="54"/>
      <c r="C85" s="53"/>
      <c r="F85" s="23" t="s">
        <v>105</v>
      </c>
      <c r="G85" s="27"/>
      <c r="H85" s="27"/>
      <c r="I85" s="27"/>
      <c r="J85" s="14"/>
      <c r="K85" s="8"/>
      <c r="L85" s="8"/>
      <c r="S85" s="14"/>
    </row>
    <row r="86" spans="1:19" ht="15.75" customHeight="1" x14ac:dyDescent="0.25">
      <c r="A86" s="52"/>
      <c r="C86" s="56"/>
      <c r="D86" s="33" t="s">
        <v>106</v>
      </c>
      <c r="E86" s="32"/>
      <c r="F86" s="23" t="s">
        <v>107</v>
      </c>
      <c r="G86" s="27"/>
      <c r="H86" s="27"/>
      <c r="I86" s="27"/>
      <c r="J86" s="33" t="s">
        <v>108</v>
      </c>
      <c r="K86" s="8"/>
      <c r="L86" s="8"/>
      <c r="S86" s="14"/>
    </row>
    <row r="87" spans="1:19" ht="15.75" customHeight="1" x14ac:dyDescent="0.25">
      <c r="A87" s="52"/>
      <c r="B87" s="23"/>
      <c r="C87" s="56"/>
      <c r="D87" s="45">
        <v>12519.27</v>
      </c>
      <c r="E87" s="32"/>
      <c r="F87" s="14"/>
      <c r="J87" s="48"/>
      <c r="K87" s="8"/>
      <c r="L87" s="8"/>
      <c r="S87" s="14"/>
    </row>
    <row r="88" spans="1:19" ht="15" customHeight="1" x14ac:dyDescent="0.25">
      <c r="A88" s="35"/>
      <c r="B88" s="23"/>
      <c r="C88" s="56"/>
      <c r="D88" s="14"/>
      <c r="E88" s="32"/>
      <c r="F88" s="14"/>
      <c r="G88" s="14"/>
      <c r="H88" s="14"/>
      <c r="I88" s="14"/>
      <c r="J88" s="48"/>
      <c r="K88" s="8"/>
      <c r="L88" s="8"/>
      <c r="S88" s="14"/>
    </row>
    <row r="89" spans="1:19" ht="15" customHeight="1" x14ac:dyDescent="0.25">
      <c r="A89" s="35"/>
      <c r="C89" s="56"/>
      <c r="D89" s="14"/>
      <c r="E89" s="32"/>
      <c r="F89" s="14"/>
      <c r="G89" s="14"/>
      <c r="H89" s="49"/>
      <c r="I89" s="8"/>
      <c r="J89" s="50">
        <f>SUM(J87:J88)</f>
        <v>0</v>
      </c>
      <c r="Q89" s="14"/>
    </row>
    <row r="90" spans="1:19" ht="15" customHeight="1" x14ac:dyDescent="0.25">
      <c r="A90" s="35"/>
      <c r="B90" s="23"/>
      <c r="C90" s="14"/>
      <c r="D90" s="14"/>
      <c r="E90" s="32"/>
      <c r="F90" s="14"/>
      <c r="G90" s="14"/>
      <c r="H90" s="49"/>
      <c r="I90" s="8"/>
      <c r="J90" s="8"/>
      <c r="Q90" s="14"/>
    </row>
    <row r="91" spans="1:19" ht="15.75" customHeight="1" x14ac:dyDescent="0.25">
      <c r="C91" s="46">
        <f>SUM(C73:C90)</f>
        <v>29887.000000000004</v>
      </c>
      <c r="D91" s="14"/>
      <c r="E91" s="32"/>
      <c r="F91" s="14"/>
      <c r="G91" s="14"/>
      <c r="H91" s="49"/>
      <c r="I91" s="8"/>
      <c r="J91" s="8"/>
      <c r="Q91" s="14"/>
    </row>
    <row r="92" spans="1:19" ht="15.75" customHeight="1" x14ac:dyDescent="0.25">
      <c r="C92" s="14"/>
      <c r="D92" s="32"/>
      <c r="E92" s="14"/>
      <c r="F92" s="14"/>
      <c r="G92" s="49"/>
      <c r="H92" s="8"/>
      <c r="I92" s="8"/>
      <c r="P92" s="14"/>
    </row>
    <row r="93" spans="1:19" ht="15.75" customHeight="1" x14ac:dyDescent="0.25">
      <c r="C93" s="14"/>
      <c r="D93" s="32"/>
      <c r="E93" s="14"/>
      <c r="F93" s="14"/>
      <c r="G93" s="49"/>
      <c r="H93" s="8"/>
      <c r="I93" s="8"/>
      <c r="P93" s="14"/>
    </row>
    <row r="94" spans="1:19" ht="15.75" customHeight="1" x14ac:dyDescent="0.25">
      <c r="C94" s="14"/>
      <c r="D94" s="32"/>
      <c r="E94" s="14"/>
      <c r="F94" s="14"/>
      <c r="G94" s="49"/>
      <c r="H94" s="8"/>
      <c r="I94" s="8"/>
      <c r="P94" s="14"/>
    </row>
    <row r="95" spans="1:19" ht="15.75" customHeight="1" x14ac:dyDescent="0.25">
      <c r="C95" s="14"/>
      <c r="D95" s="32"/>
      <c r="E95" s="14"/>
      <c r="F95" s="14"/>
      <c r="G95" s="49"/>
      <c r="H95" s="8"/>
      <c r="I95" s="8"/>
      <c r="P95" s="14"/>
    </row>
    <row r="96" spans="1:19" ht="15.75" customHeight="1" x14ac:dyDescent="0.25">
      <c r="C96" s="14"/>
      <c r="D96" s="32"/>
      <c r="E96" s="14"/>
      <c r="F96" s="14"/>
      <c r="G96" s="49"/>
      <c r="H96" s="8"/>
      <c r="I96" s="8"/>
      <c r="P96" s="14"/>
    </row>
    <row r="97" spans="2:16" ht="15.75" customHeight="1" x14ac:dyDescent="0.25">
      <c r="C97" s="14"/>
      <c r="D97" s="32"/>
      <c r="E97" s="14"/>
      <c r="F97" s="14"/>
      <c r="G97" s="49"/>
      <c r="H97" s="8"/>
      <c r="I97" s="8"/>
      <c r="P97" s="14"/>
    </row>
    <row r="98" spans="2:16" ht="15.75" customHeight="1" x14ac:dyDescent="0.25">
      <c r="C98" s="14"/>
      <c r="D98" s="32"/>
      <c r="E98" s="14"/>
      <c r="F98" s="14"/>
      <c r="G98" s="49"/>
      <c r="H98" s="8"/>
      <c r="I98" s="8"/>
      <c r="P98" s="14"/>
    </row>
    <row r="99" spans="2:16" ht="15.75" customHeight="1" x14ac:dyDescent="0.25">
      <c r="C99" s="14"/>
      <c r="D99" s="32"/>
      <c r="E99" s="14"/>
      <c r="F99" s="14"/>
      <c r="G99" s="49"/>
      <c r="H99" s="8"/>
      <c r="I99" s="8"/>
      <c r="P99" s="14"/>
    </row>
    <row r="100" spans="2:16" ht="15.75" customHeight="1" x14ac:dyDescent="0.25">
      <c r="B100" s="22"/>
      <c r="C100" s="14"/>
      <c r="D100" s="32"/>
      <c r="E100" s="14"/>
      <c r="F100" s="14"/>
      <c r="G100" s="49"/>
      <c r="H100" s="8"/>
      <c r="I100" s="8"/>
      <c r="P100" s="14"/>
    </row>
    <row r="101" spans="2:16" ht="15.75" customHeight="1" x14ac:dyDescent="0.25">
      <c r="C101" s="14"/>
      <c r="D101" s="32"/>
      <c r="E101" s="14"/>
      <c r="F101" s="14"/>
      <c r="G101" s="49"/>
      <c r="H101" s="8"/>
      <c r="I101" s="8"/>
      <c r="P101" s="14"/>
    </row>
    <row r="102" spans="2:16" ht="15.75" customHeight="1" x14ac:dyDescent="0.25">
      <c r="C102" s="14"/>
      <c r="D102" s="32"/>
      <c r="E102" s="14"/>
      <c r="F102" s="14"/>
      <c r="G102" s="49"/>
      <c r="H102" s="8"/>
      <c r="I102" s="8"/>
      <c r="P102" s="14"/>
    </row>
    <row r="103" spans="2:16" ht="15.75" customHeight="1" x14ac:dyDescent="0.25">
      <c r="C103" s="14"/>
      <c r="D103" s="32"/>
      <c r="E103" s="14"/>
      <c r="F103" s="14"/>
      <c r="G103" s="49"/>
      <c r="H103" s="8"/>
      <c r="I103" s="8"/>
      <c r="P103" s="14"/>
    </row>
    <row r="104" spans="2:16" ht="15.75" customHeight="1" x14ac:dyDescent="0.25">
      <c r="B104" s="14"/>
      <c r="C104" s="14"/>
      <c r="D104" s="32"/>
      <c r="E104" s="14"/>
      <c r="F104" s="14"/>
      <c r="G104" s="49"/>
      <c r="H104" s="8"/>
      <c r="I104" s="8"/>
      <c r="P104" s="14"/>
    </row>
    <row r="105" spans="2:16" ht="15.75" customHeight="1" x14ac:dyDescent="0.25">
      <c r="B105" s="14"/>
      <c r="C105" s="14"/>
      <c r="D105" s="32"/>
      <c r="E105" s="14"/>
      <c r="F105" s="14"/>
      <c r="G105" s="49"/>
      <c r="H105" s="8"/>
      <c r="I105" s="8"/>
      <c r="P105" s="14"/>
    </row>
    <row r="106" spans="2:16" ht="15.75" customHeight="1" x14ac:dyDescent="0.25">
      <c r="B106" s="14"/>
      <c r="C106" s="14"/>
      <c r="D106" s="32"/>
      <c r="E106" s="14"/>
      <c r="F106" s="14"/>
      <c r="G106" s="49"/>
      <c r="H106" s="8"/>
      <c r="I106" s="8"/>
      <c r="P106" s="14"/>
    </row>
    <row r="107" spans="2:16" ht="15.75" customHeight="1" x14ac:dyDescent="0.25">
      <c r="B107" s="14"/>
      <c r="C107" s="22"/>
      <c r="H107" s="8"/>
      <c r="I107" s="8"/>
    </row>
    <row r="108" spans="2:16" ht="15.75" customHeight="1" x14ac:dyDescent="0.25">
      <c r="B108" s="14"/>
      <c r="E108" s="14"/>
    </row>
    <row r="109" spans="2:16" ht="15.75" customHeight="1" x14ac:dyDescent="0.25">
      <c r="B109" s="14"/>
    </row>
    <row r="110" spans="2:16" ht="15.75" customHeight="1" x14ac:dyDescent="0.25">
      <c r="B110" s="14"/>
      <c r="E110" s="14"/>
    </row>
    <row r="111" spans="2:16" ht="15.75" customHeight="1" x14ac:dyDescent="0.25">
      <c r="B111" s="14"/>
    </row>
    <row r="112" spans="2:16" ht="15.75" customHeight="1" x14ac:dyDescent="0.25">
      <c r="B112" s="14"/>
    </row>
    <row r="113" spans="1:3" ht="15.75" customHeight="1" x14ac:dyDescent="0.25">
      <c r="B113" s="14"/>
      <c r="C113" s="22"/>
    </row>
    <row r="114" spans="1:3" ht="15.75" customHeight="1" x14ac:dyDescent="0.25">
      <c r="B114" s="14"/>
    </row>
    <row r="115" spans="1:3" ht="15.75" customHeight="1" x14ac:dyDescent="0.25">
      <c r="B115" s="14"/>
    </row>
    <row r="116" spans="1:3" ht="15.75" customHeight="1" x14ac:dyDescent="0.25">
      <c r="B116" s="14"/>
    </row>
    <row r="117" spans="1:3" ht="15.75" customHeight="1" x14ac:dyDescent="0.25">
      <c r="B117" s="14"/>
    </row>
    <row r="118" spans="1:3" ht="15.75" customHeight="1" x14ac:dyDescent="0.25">
      <c r="A118" s="22"/>
      <c r="B118" s="14"/>
    </row>
    <row r="119" spans="1:3" ht="15.75" customHeight="1" x14ac:dyDescent="0.25">
      <c r="A119" s="22"/>
      <c r="B119" s="14"/>
    </row>
    <row r="120" spans="1:3" ht="15.75" customHeight="1" x14ac:dyDescent="0.25">
      <c r="A120" s="51"/>
      <c r="B120" s="14"/>
    </row>
    <row r="121" spans="1:3" ht="15.75" customHeight="1" x14ac:dyDescent="0.25">
      <c r="A121" s="51"/>
      <c r="B121" s="14"/>
    </row>
    <row r="122" spans="1:3" ht="15.75" customHeight="1" x14ac:dyDescent="0.25">
      <c r="A122" s="51"/>
      <c r="B122" s="14"/>
    </row>
    <row r="123" spans="1:3" ht="15.75" customHeight="1" x14ac:dyDescent="0.25">
      <c r="A123" s="51"/>
      <c r="B123" s="14"/>
    </row>
    <row r="124" spans="1:3" ht="15.75" customHeight="1" x14ac:dyDescent="0.25">
      <c r="A124" s="51"/>
      <c r="B124" s="14"/>
    </row>
    <row r="125" spans="1:3" ht="15.75" customHeight="1" x14ac:dyDescent="0.25">
      <c r="A125" s="51"/>
      <c r="B125" s="14"/>
    </row>
    <row r="126" spans="1:3" ht="15.75" customHeight="1" x14ac:dyDescent="0.25">
      <c r="A126" s="51"/>
      <c r="B126" s="14"/>
    </row>
    <row r="127" spans="1:3" ht="15.75" customHeight="1" x14ac:dyDescent="0.25">
      <c r="A127" s="51"/>
      <c r="B127" s="14"/>
    </row>
    <row r="128" spans="1:3" ht="15.75" customHeight="1" x14ac:dyDescent="0.25">
      <c r="A128" s="51"/>
      <c r="B128" s="14"/>
    </row>
    <row r="129" spans="1:2" ht="15.75" customHeight="1" x14ac:dyDescent="0.25">
      <c r="A129" s="51"/>
      <c r="B129" s="14"/>
    </row>
    <row r="130" spans="1:2" ht="15.75" customHeight="1" x14ac:dyDescent="0.25">
      <c r="A130" s="51"/>
      <c r="B130" s="14"/>
    </row>
    <row r="131" spans="1:2" ht="15.75" customHeight="1" x14ac:dyDescent="0.25">
      <c r="A131" s="51"/>
      <c r="B131" s="14"/>
    </row>
    <row r="132" spans="1:2" ht="15.75" customHeight="1" x14ac:dyDescent="0.25">
      <c r="A132" s="51"/>
    </row>
    <row r="133" spans="1:2" ht="15.75" customHeight="1" x14ac:dyDescent="0.25">
      <c r="A133" s="51"/>
      <c r="B133" s="14"/>
    </row>
    <row r="134" spans="1:2" ht="15.75" customHeight="1" x14ac:dyDescent="0.25">
      <c r="A134" s="51"/>
    </row>
    <row r="135" spans="1:2" ht="15.75" customHeight="1" x14ac:dyDescent="0.25">
      <c r="A135" s="51"/>
    </row>
    <row r="136" spans="1:2" ht="15.75" customHeight="1" x14ac:dyDescent="0.25"/>
    <row r="137" spans="1:2" ht="15.75" customHeight="1" x14ac:dyDescent="0.25"/>
    <row r="138" spans="1:2" ht="15.75" customHeight="1" x14ac:dyDescent="0.25"/>
    <row r="139" spans="1:2" ht="15.75" customHeight="1" x14ac:dyDescent="0.25"/>
    <row r="140" spans="1:2" ht="15.75" customHeight="1" x14ac:dyDescent="0.25"/>
    <row r="141" spans="1:2" ht="15.75" customHeight="1" x14ac:dyDescent="0.25"/>
    <row r="142" spans="1:2" ht="15.75" customHeight="1" x14ac:dyDescent="0.25"/>
    <row r="143" spans="1:2" ht="15.75" customHeight="1" x14ac:dyDescent="0.25"/>
    <row r="144" spans="1:2" ht="15.75" customHeight="1" x14ac:dyDescent="0.25"/>
    <row r="145" spans="1:1" ht="15.75" customHeight="1" x14ac:dyDescent="0.25"/>
    <row r="146" spans="1:1" ht="15.75" customHeight="1" x14ac:dyDescent="0.25"/>
    <row r="147" spans="1:1" ht="15.75" customHeight="1" x14ac:dyDescent="0.25"/>
    <row r="148" spans="1:1" ht="15.75" customHeight="1" x14ac:dyDescent="0.25"/>
    <row r="149" spans="1:1" ht="15.75" customHeight="1" x14ac:dyDescent="0.25">
      <c r="A149" s="51"/>
    </row>
    <row r="150" spans="1:1" ht="15.75" customHeight="1" x14ac:dyDescent="0.25"/>
    <row r="151" spans="1:1" ht="15.75" customHeight="1" x14ac:dyDescent="0.25"/>
    <row r="152" spans="1:1" ht="15.75" customHeight="1" x14ac:dyDescent="0.25"/>
    <row r="153" spans="1:1" ht="15.75" customHeight="1" x14ac:dyDescent="0.25"/>
    <row r="154" spans="1:1" ht="15.75" customHeight="1" x14ac:dyDescent="0.25"/>
    <row r="155" spans="1:1" ht="15.75" customHeight="1" x14ac:dyDescent="0.25"/>
    <row r="156" spans="1:1" ht="15.75" customHeight="1" x14ac:dyDescent="0.25"/>
    <row r="157" spans="1:1" ht="15.75" customHeight="1" x14ac:dyDescent="0.25"/>
    <row r="158" spans="1:1" ht="15.75" customHeight="1" x14ac:dyDescent="0.25"/>
    <row r="159" spans="1:1" ht="15.75" customHeight="1" x14ac:dyDescent="0.25"/>
    <row r="160" spans="1:1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</sheetData>
  <mergeCells count="4">
    <mergeCell ref="A9:A10"/>
    <mergeCell ref="B72:C72"/>
    <mergeCell ref="D72:E72"/>
    <mergeCell ref="F78:G78"/>
  </mergeCells>
  <printOptions gridLines="1"/>
  <pageMargins left="0.7" right="0.7" top="0.75" bottom="0.75" header="0" footer="0"/>
  <pageSetup paperSize="5" orientation="landscape" r:id="rId1"/>
  <rowBreaks count="2" manualBreakCount="2">
    <brk id="34" man="1"/>
    <brk id="5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1000"/>
  <sheetViews>
    <sheetView zoomScaleNormal="100" workbookViewId="0"/>
  </sheetViews>
  <sheetFormatPr defaultColWidth="14.42578125" defaultRowHeight="15" customHeight="1" x14ac:dyDescent="0.25"/>
  <cols>
    <col min="1" max="1" width="16.7109375" customWidth="1"/>
    <col min="3" max="3" width="16" customWidth="1"/>
    <col min="4" max="4" width="16.140625" customWidth="1"/>
    <col min="5" max="5" width="16.7109375" customWidth="1"/>
    <col min="6" max="6" width="13.28515625" customWidth="1"/>
    <col min="7" max="7" width="14.5703125" customWidth="1"/>
    <col min="8" max="8" width="11" customWidth="1"/>
    <col min="9" max="14" width="14.140625" customWidth="1"/>
    <col min="15" max="15" width="12.85546875" customWidth="1"/>
    <col min="16" max="16" width="12.5703125" customWidth="1"/>
    <col min="17" max="17" width="8.7109375" customWidth="1"/>
    <col min="18" max="18" width="13.42578125" customWidth="1"/>
    <col min="19" max="31" width="8.7109375" customWidth="1"/>
  </cols>
  <sheetData>
    <row r="1" spans="1:31" x14ac:dyDescent="0.25">
      <c r="A1" s="1" t="s">
        <v>133</v>
      </c>
      <c r="B1" s="1"/>
      <c r="C1" s="1"/>
      <c r="D1" s="1"/>
      <c r="E1" s="1"/>
      <c r="F1" s="1"/>
      <c r="G1" s="1"/>
    </row>
    <row r="2" spans="1:31" x14ac:dyDescent="0.2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ht="26.25" x14ac:dyDescent="0.25">
      <c r="A3" s="6" t="s">
        <v>14</v>
      </c>
      <c r="B3" s="6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G3" s="7" t="s">
        <v>117</v>
      </c>
      <c r="H3" s="7" t="s">
        <v>21</v>
      </c>
      <c r="I3" s="7" t="s">
        <v>22</v>
      </c>
      <c r="J3" s="7" t="s">
        <v>23</v>
      </c>
      <c r="K3" s="7" t="s">
        <v>24</v>
      </c>
      <c r="L3" s="7" t="s">
        <v>25</v>
      </c>
      <c r="M3" s="7" t="s">
        <v>26</v>
      </c>
      <c r="N3" s="7" t="s">
        <v>27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x14ac:dyDescent="0.25">
      <c r="A4" s="8" t="s">
        <v>28</v>
      </c>
      <c r="B4" s="9">
        <v>44419.169999999991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>
        <v>44419.169999999991</v>
      </c>
      <c r="N4" s="10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x14ac:dyDescent="0.25">
      <c r="A5" s="8" t="s">
        <v>78</v>
      </c>
      <c r="B5" s="9">
        <v>2304471.5199999996</v>
      </c>
      <c r="C5" s="12">
        <v>468464.83000000007</v>
      </c>
      <c r="D5" s="12">
        <v>871562.14000000013</v>
      </c>
      <c r="E5" s="12">
        <v>709819.0199999999</v>
      </c>
      <c r="F5" s="12">
        <v>-138509.81</v>
      </c>
      <c r="G5" s="10">
        <v>-5288.25</v>
      </c>
      <c r="H5" s="10">
        <v>0</v>
      </c>
      <c r="I5" s="10">
        <v>-617.19999999999709</v>
      </c>
      <c r="J5" s="10">
        <v>253884.27000000002</v>
      </c>
      <c r="K5" s="10">
        <v>41112.959999999992</v>
      </c>
      <c r="L5" s="10">
        <v>84167.799999999988</v>
      </c>
      <c r="M5" s="10"/>
      <c r="N5" s="10">
        <v>19875.759999999998</v>
      </c>
      <c r="O5" s="13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x14ac:dyDescent="0.25">
      <c r="A6" s="8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4"/>
      <c r="AA6" s="5"/>
      <c r="AB6" s="5"/>
    </row>
    <row r="7" spans="1:31" x14ac:dyDescent="0.25">
      <c r="A7" s="1" t="s">
        <v>32</v>
      </c>
      <c r="B7" s="15">
        <f t="shared" ref="B7:N7" si="0">SUM(B4:B6)</f>
        <v>2348890.6899999995</v>
      </c>
      <c r="C7" s="15">
        <f t="shared" si="0"/>
        <v>468464.83000000007</v>
      </c>
      <c r="D7" s="15">
        <f t="shared" si="0"/>
        <v>871562.14000000013</v>
      </c>
      <c r="E7" s="15">
        <f t="shared" si="0"/>
        <v>709819.0199999999</v>
      </c>
      <c r="F7" s="15">
        <f t="shared" si="0"/>
        <v>-138509.81</v>
      </c>
      <c r="G7" s="15">
        <f t="shared" si="0"/>
        <v>-5288.25</v>
      </c>
      <c r="H7" s="15">
        <f t="shared" si="0"/>
        <v>0</v>
      </c>
      <c r="I7" s="15">
        <f t="shared" si="0"/>
        <v>-617.19999999999709</v>
      </c>
      <c r="J7" s="15">
        <f t="shared" si="0"/>
        <v>253884.27000000002</v>
      </c>
      <c r="K7" s="15">
        <f t="shared" si="0"/>
        <v>41112.959999999992</v>
      </c>
      <c r="L7" s="15">
        <f t="shared" si="0"/>
        <v>84167.799999999988</v>
      </c>
      <c r="M7" s="15">
        <f t="shared" si="0"/>
        <v>44419.169999999991</v>
      </c>
      <c r="N7" s="15">
        <f t="shared" si="0"/>
        <v>19875.759999999998</v>
      </c>
      <c r="AA7" s="5"/>
      <c r="AB7" s="5"/>
    </row>
    <row r="8" spans="1:31" x14ac:dyDescent="0.25">
      <c r="A8" s="1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4"/>
      <c r="AA8" s="5"/>
      <c r="AB8" s="5"/>
    </row>
    <row r="9" spans="1:31" x14ac:dyDescent="0.25">
      <c r="A9" s="67" t="s">
        <v>33</v>
      </c>
      <c r="B9" s="16"/>
      <c r="C9" s="17" t="s">
        <v>3</v>
      </c>
      <c r="D9" s="17" t="s">
        <v>4</v>
      </c>
      <c r="E9" s="17" t="s">
        <v>5</v>
      </c>
      <c r="F9" s="17" t="s">
        <v>6</v>
      </c>
      <c r="G9" s="17" t="s">
        <v>118</v>
      </c>
      <c r="H9" s="17" t="s">
        <v>35</v>
      </c>
      <c r="I9" s="17" t="s">
        <v>8</v>
      </c>
      <c r="J9" s="17" t="s">
        <v>36</v>
      </c>
      <c r="K9" s="17" t="s">
        <v>37</v>
      </c>
      <c r="L9" s="17" t="s">
        <v>38</v>
      </c>
      <c r="M9" s="17" t="s">
        <v>12</v>
      </c>
      <c r="N9" s="17" t="s">
        <v>13</v>
      </c>
      <c r="AA9" s="5"/>
      <c r="AB9" s="5"/>
    </row>
    <row r="10" spans="1:31" x14ac:dyDescent="0.25">
      <c r="A10" s="68"/>
      <c r="B10" s="16">
        <f>SUM(C10:N10)</f>
        <v>2348890.6899999995</v>
      </c>
      <c r="C10" s="18">
        <f t="shared" ref="C10:N10" si="1">C7</f>
        <v>468464.83000000007</v>
      </c>
      <c r="D10" s="18">
        <f t="shared" si="1"/>
        <v>871562.14000000013</v>
      </c>
      <c r="E10" s="18">
        <f t="shared" si="1"/>
        <v>709819.0199999999</v>
      </c>
      <c r="F10" s="18">
        <f t="shared" si="1"/>
        <v>-138509.81</v>
      </c>
      <c r="G10" s="18">
        <f t="shared" si="1"/>
        <v>-5288.25</v>
      </c>
      <c r="H10" s="18">
        <f t="shared" si="1"/>
        <v>0</v>
      </c>
      <c r="I10" s="18">
        <f t="shared" si="1"/>
        <v>-617.19999999999709</v>
      </c>
      <c r="J10" s="18">
        <f t="shared" si="1"/>
        <v>253884.27000000002</v>
      </c>
      <c r="K10" s="18">
        <f t="shared" si="1"/>
        <v>41112.959999999992</v>
      </c>
      <c r="L10" s="18">
        <f t="shared" si="1"/>
        <v>84167.799999999988</v>
      </c>
      <c r="M10" s="18">
        <f t="shared" si="1"/>
        <v>44419.169999999991</v>
      </c>
      <c r="N10" s="18">
        <f t="shared" si="1"/>
        <v>19875.759999999998</v>
      </c>
      <c r="O10" s="14"/>
      <c r="AA10" s="5"/>
      <c r="AB10" s="5"/>
    </row>
    <row r="11" spans="1:31" x14ac:dyDescent="0.25">
      <c r="A11" s="19" t="s">
        <v>39</v>
      </c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AA11" s="5"/>
      <c r="AB11" s="5"/>
    </row>
    <row r="12" spans="1:31" x14ac:dyDescent="0.25">
      <c r="A12" s="21" t="s">
        <v>134</v>
      </c>
      <c r="B12" s="10"/>
      <c r="C12" s="10">
        <v>22307.29</v>
      </c>
      <c r="D12" s="10">
        <v>400</v>
      </c>
      <c r="E12" s="10">
        <v>11845.47</v>
      </c>
      <c r="F12" s="10">
        <v>11971.54</v>
      </c>
      <c r="G12" s="10"/>
      <c r="H12" s="10"/>
      <c r="I12" s="10"/>
      <c r="J12" s="10"/>
      <c r="K12" s="10"/>
      <c r="L12" s="10"/>
      <c r="M12" s="10">
        <v>31.77</v>
      </c>
      <c r="N12" s="10"/>
      <c r="O12" s="14"/>
      <c r="AA12" s="5"/>
      <c r="AB12" s="5"/>
    </row>
    <row r="13" spans="1:31" x14ac:dyDescent="0.25">
      <c r="A13" s="20" t="s">
        <v>41</v>
      </c>
      <c r="B13" s="10"/>
      <c r="C13" s="10"/>
      <c r="D13" s="10"/>
      <c r="E13" s="10"/>
      <c r="F13" s="10"/>
      <c r="AA13" s="5"/>
      <c r="AB13" s="5"/>
    </row>
    <row r="14" spans="1:31" x14ac:dyDescent="0.25">
      <c r="A14" s="21" t="s">
        <v>42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4"/>
      <c r="AA14" s="5"/>
      <c r="AB14" s="5"/>
    </row>
    <row r="15" spans="1:31" x14ac:dyDescent="0.25">
      <c r="A15" s="21" t="s">
        <v>45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AA15" s="5"/>
      <c r="AB15" s="5"/>
    </row>
    <row r="16" spans="1:31" x14ac:dyDescent="0.25">
      <c r="A16" s="21" t="s">
        <v>46</v>
      </c>
      <c r="B16" s="10"/>
      <c r="C16" s="10"/>
      <c r="D16" s="10"/>
      <c r="E16" s="10"/>
      <c r="G16" s="10"/>
      <c r="H16" s="10"/>
      <c r="I16" s="10"/>
      <c r="J16" s="10"/>
      <c r="K16" s="10"/>
      <c r="L16" s="10"/>
      <c r="M16" s="10"/>
      <c r="N16" s="10"/>
      <c r="AA16" s="5"/>
      <c r="AB16" s="5"/>
    </row>
    <row r="17" spans="1:29" ht="15.75" customHeight="1" x14ac:dyDescent="0.25">
      <c r="A17" s="21" t="s">
        <v>47</v>
      </c>
      <c r="B17" s="10"/>
      <c r="C17" s="10"/>
      <c r="D17" s="10"/>
      <c r="E17" s="10"/>
      <c r="F17" s="10"/>
      <c r="H17" s="24"/>
      <c r="I17" s="24"/>
      <c r="J17" s="10"/>
      <c r="K17" s="10"/>
      <c r="L17" s="10"/>
      <c r="M17" s="10"/>
      <c r="N17" s="10"/>
      <c r="O17" s="25"/>
      <c r="P17" s="25"/>
      <c r="Q17" s="25"/>
      <c r="AA17" s="5"/>
      <c r="AB17" s="5"/>
    </row>
    <row r="18" spans="1:29" ht="15.75" customHeight="1" x14ac:dyDescent="0.25">
      <c r="A18" s="1" t="s">
        <v>48</v>
      </c>
      <c r="B18" s="26">
        <f t="shared" ref="B18:B20" si="2">SUM(C18:N18)</f>
        <v>46556.07</v>
      </c>
      <c r="C18" s="9">
        <f t="shared" ref="C18:N18" si="3">SUM(C12:C17)</f>
        <v>22307.29</v>
      </c>
      <c r="D18" s="9">
        <f t="shared" si="3"/>
        <v>400</v>
      </c>
      <c r="E18" s="9">
        <f t="shared" si="3"/>
        <v>11845.47</v>
      </c>
      <c r="F18" s="9">
        <f t="shared" si="3"/>
        <v>11971.54</v>
      </c>
      <c r="G18" s="9">
        <f t="shared" si="3"/>
        <v>0</v>
      </c>
      <c r="H18" s="9">
        <f t="shared" si="3"/>
        <v>0</v>
      </c>
      <c r="I18" s="9">
        <f t="shared" si="3"/>
        <v>0</v>
      </c>
      <c r="J18" s="9">
        <f t="shared" si="3"/>
        <v>0</v>
      </c>
      <c r="K18" s="9">
        <f t="shared" si="3"/>
        <v>0</v>
      </c>
      <c r="L18" s="9">
        <f t="shared" si="3"/>
        <v>0</v>
      </c>
      <c r="M18" s="9">
        <f t="shared" si="3"/>
        <v>31.77</v>
      </c>
      <c r="N18" s="9">
        <f t="shared" si="3"/>
        <v>0</v>
      </c>
      <c r="O18" s="10"/>
      <c r="P18" s="10"/>
      <c r="Q18" s="10"/>
      <c r="AA18" s="5"/>
      <c r="AB18" s="5"/>
    </row>
    <row r="19" spans="1:29" ht="15.75" customHeight="1" x14ac:dyDescent="0.25">
      <c r="A19" s="1" t="s">
        <v>49</v>
      </c>
      <c r="B19" s="26">
        <f t="shared" si="2"/>
        <v>6191.1</v>
      </c>
      <c r="C19" s="10">
        <v>1212.19</v>
      </c>
      <c r="D19" s="10">
        <v>2191.9</v>
      </c>
      <c r="E19" s="10">
        <v>1784.88</v>
      </c>
      <c r="F19" s="10"/>
      <c r="G19" s="21"/>
      <c r="H19" s="21"/>
      <c r="I19" s="21"/>
      <c r="J19" s="21">
        <v>637.59</v>
      </c>
      <c r="K19" s="21">
        <v>153.16</v>
      </c>
      <c r="L19" s="21">
        <v>211.38</v>
      </c>
      <c r="M19" s="21"/>
      <c r="N19" s="21"/>
      <c r="O19" s="10"/>
      <c r="P19" s="10"/>
      <c r="Q19" s="10"/>
      <c r="AA19" s="5"/>
      <c r="AB19" s="5"/>
    </row>
    <row r="20" spans="1:29" ht="15.75" customHeight="1" x14ac:dyDescent="0.25">
      <c r="A20" s="1" t="s">
        <v>50</v>
      </c>
      <c r="B20" s="26">
        <f t="shared" si="2"/>
        <v>196800.04</v>
      </c>
      <c r="C20" s="10">
        <v>52783.19</v>
      </c>
      <c r="D20" s="10">
        <v>8530.1</v>
      </c>
      <c r="E20" s="10">
        <v>6259.67</v>
      </c>
      <c r="F20" s="10">
        <v>126267.08</v>
      </c>
      <c r="G20" s="10"/>
      <c r="H20" s="10"/>
      <c r="I20" s="10"/>
      <c r="J20" s="10"/>
      <c r="K20" s="10"/>
      <c r="L20" s="10">
        <v>2960</v>
      </c>
      <c r="M20" s="10"/>
      <c r="N20" s="10"/>
      <c r="O20" s="14"/>
      <c r="P20" s="14"/>
      <c r="Q20" s="14"/>
      <c r="R20" s="14"/>
      <c r="AA20" s="5"/>
      <c r="AB20" s="5"/>
    </row>
    <row r="21" spans="1:29" ht="15.75" customHeight="1" x14ac:dyDescent="0.25">
      <c r="A21" s="1" t="s">
        <v>114</v>
      </c>
      <c r="B21" s="9">
        <f>C21+D21+E21+F21+I21</f>
        <v>19.12</v>
      </c>
      <c r="C21" s="10">
        <v>19.12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4"/>
      <c r="P21" s="14"/>
      <c r="Q21" s="14"/>
      <c r="R21" s="14"/>
      <c r="AA21" s="5"/>
      <c r="AB21" s="5"/>
    </row>
    <row r="22" spans="1:29" ht="15.75" customHeight="1" x14ac:dyDescent="0.25">
      <c r="A22" s="1" t="s">
        <v>46</v>
      </c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  <c r="P22" s="14"/>
      <c r="Q22" s="14"/>
      <c r="R22" s="14"/>
      <c r="AA22" s="5"/>
      <c r="AB22" s="5"/>
    </row>
    <row r="23" spans="1:29" ht="15.75" customHeight="1" x14ac:dyDescent="0.25">
      <c r="A23" s="1" t="s">
        <v>52</v>
      </c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R23" s="14"/>
      <c r="AA23" s="5"/>
    </row>
    <row r="24" spans="1:29" ht="15.75" customHeight="1" x14ac:dyDescent="0.25">
      <c r="A24" s="1" t="s">
        <v>53</v>
      </c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R24" s="14"/>
      <c r="AA24" s="5"/>
    </row>
    <row r="25" spans="1:29" ht="15.75" customHeight="1" x14ac:dyDescent="0.25">
      <c r="A25" s="1" t="s">
        <v>54</v>
      </c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R25" s="14"/>
      <c r="AA25" s="5"/>
    </row>
    <row r="26" spans="1:29" ht="15.75" customHeight="1" x14ac:dyDescent="0.25">
      <c r="A26" s="1" t="s">
        <v>47</v>
      </c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R26" s="14"/>
      <c r="AC26" s="27"/>
    </row>
    <row r="27" spans="1:29" ht="15.75" customHeight="1" x14ac:dyDescent="0.25">
      <c r="A27" s="1" t="s">
        <v>55</v>
      </c>
      <c r="B27" s="26">
        <f>SUM(C27:N27)</f>
        <v>196819.16</v>
      </c>
      <c r="C27" s="10">
        <f t="shared" ref="C27:N27" si="4">SUM(C20:C26)</f>
        <v>52802.310000000005</v>
      </c>
      <c r="D27" s="10">
        <f t="shared" si="4"/>
        <v>8530.1</v>
      </c>
      <c r="E27" s="10">
        <f t="shared" si="4"/>
        <v>6259.67</v>
      </c>
      <c r="F27" s="10">
        <f t="shared" si="4"/>
        <v>126267.08</v>
      </c>
      <c r="G27" s="10">
        <f t="shared" si="4"/>
        <v>0</v>
      </c>
      <c r="H27" s="10">
        <f t="shared" si="4"/>
        <v>0</v>
      </c>
      <c r="I27" s="10">
        <f t="shared" si="4"/>
        <v>0</v>
      </c>
      <c r="J27" s="10">
        <f t="shared" si="4"/>
        <v>0</v>
      </c>
      <c r="K27" s="10">
        <f t="shared" si="4"/>
        <v>0</v>
      </c>
      <c r="L27" s="10">
        <f t="shared" si="4"/>
        <v>2960</v>
      </c>
      <c r="M27" s="10">
        <f t="shared" si="4"/>
        <v>0</v>
      </c>
      <c r="N27" s="10">
        <f t="shared" si="4"/>
        <v>0</v>
      </c>
      <c r="R27" s="14"/>
    </row>
    <row r="28" spans="1:29" ht="15.75" customHeight="1" x14ac:dyDescent="0.25">
      <c r="A28" s="1" t="s">
        <v>56</v>
      </c>
      <c r="B28" s="26">
        <f>C28+E28+D28+F28</f>
        <v>16182.849999999999</v>
      </c>
      <c r="C28" s="10">
        <f>2100+2807.69+480+333.46+77.98</f>
        <v>5799.13</v>
      </c>
      <c r="D28" s="10">
        <f>792.57+49.14+11.49</f>
        <v>853.2</v>
      </c>
      <c r="E28" s="10">
        <f>72+520.74+121.78</f>
        <v>714.52</v>
      </c>
      <c r="F28" s="10">
        <f>4536.24+111.84+1118.4+1102+1947.52</f>
        <v>8816</v>
      </c>
      <c r="H28" s="25"/>
      <c r="I28" s="25"/>
      <c r="J28" s="25"/>
      <c r="K28" s="25"/>
      <c r="L28" s="25"/>
      <c r="M28" s="25"/>
      <c r="N28" s="25"/>
    </row>
    <row r="29" spans="1:29" ht="15.75" customHeight="1" x14ac:dyDescent="0.25">
      <c r="A29" s="1" t="s">
        <v>56</v>
      </c>
      <c r="B29" s="26">
        <f t="shared" ref="B29:B31" si="5">SUM(C29:G29)</f>
        <v>29554.030000000006</v>
      </c>
      <c r="C29" s="10">
        <f>1372.32+2626+1666.58+2100+2807.69+775+3140.1+1335+480+296+648+136.08+1080.52+252.7</f>
        <v>18715.990000000005</v>
      </c>
      <c r="D29" s="10">
        <f>59.8+292.33+792.57+70.97+16.6</f>
        <v>1232.27</v>
      </c>
      <c r="E29" s="10">
        <f>126+521.96+122.07</f>
        <v>770.03</v>
      </c>
      <c r="F29" s="10">
        <f>19.74+5289.64+279.6+2516.4+730.36</f>
        <v>8835.7400000000016</v>
      </c>
    </row>
    <row r="30" spans="1:29" ht="15.75" customHeight="1" x14ac:dyDescent="0.25">
      <c r="A30" s="1" t="s">
        <v>56</v>
      </c>
      <c r="B30" s="26">
        <f t="shared" si="5"/>
        <v>0</v>
      </c>
      <c r="C30" s="10"/>
      <c r="D30" s="10"/>
      <c r="E30" s="10"/>
      <c r="F30" s="10"/>
    </row>
    <row r="31" spans="1:29" ht="15.75" customHeight="1" x14ac:dyDescent="0.25">
      <c r="A31" s="1" t="s">
        <v>56</v>
      </c>
      <c r="B31" s="26">
        <f t="shared" si="5"/>
        <v>0</v>
      </c>
      <c r="C31" s="10"/>
      <c r="D31" s="10"/>
      <c r="E31" s="10"/>
    </row>
    <row r="32" spans="1:29" ht="15.75" customHeight="1" x14ac:dyDescent="0.25">
      <c r="A32" s="1" t="s">
        <v>57</v>
      </c>
      <c r="B32" s="15">
        <f t="shared" ref="B32:B33" si="6">SUM(C32:N32)</f>
        <v>2159079.79</v>
      </c>
      <c r="C32" s="12">
        <f t="shared" ref="C32:E32" si="7">C10+C18+C19-C29-C27-C28-C30-C31</f>
        <v>414666.88000000006</v>
      </c>
      <c r="D32" s="12">
        <f t="shared" si="7"/>
        <v>863538.4700000002</v>
      </c>
      <c r="E32" s="12">
        <f t="shared" si="7"/>
        <v>715705.14999999979</v>
      </c>
      <c r="F32" s="12">
        <f>F10+F18+F19-F27-F28-F29-F30</f>
        <v>-270457.08999999997</v>
      </c>
      <c r="G32" s="12">
        <f t="shared" ref="G32:L32" si="8">G10+G18+G19-G29-G27-G28-G30</f>
        <v>-5288.25</v>
      </c>
      <c r="H32" s="12">
        <f t="shared" si="8"/>
        <v>0</v>
      </c>
      <c r="I32" s="12">
        <f t="shared" si="8"/>
        <v>-617.19999999999709</v>
      </c>
      <c r="J32" s="12">
        <f t="shared" si="8"/>
        <v>254521.86000000002</v>
      </c>
      <c r="K32" s="12">
        <f t="shared" si="8"/>
        <v>41266.119999999995</v>
      </c>
      <c r="L32" s="12">
        <f t="shared" si="8"/>
        <v>81419.179999999993</v>
      </c>
      <c r="M32" s="12">
        <f>B55-M27</f>
        <v>44448.909999999982</v>
      </c>
      <c r="N32" s="12">
        <f>N10+N18+N19-N29-N27-N28-N30</f>
        <v>19875.759999999998</v>
      </c>
    </row>
    <row r="33" spans="1:15" ht="15.75" customHeight="1" x14ac:dyDescent="0.25">
      <c r="A33" s="1" t="s">
        <v>135</v>
      </c>
      <c r="B33" s="9">
        <f t="shared" si="6"/>
        <v>2111104.9</v>
      </c>
      <c r="C33" s="12">
        <f>40525.66+9091.86+379267.6</f>
        <v>428885.12</v>
      </c>
      <c r="D33" s="12">
        <f>531424.01+184435.27+148911.46</f>
        <v>864770.74</v>
      </c>
      <c r="E33" s="12">
        <f>144939.53+28592.54+543079.3</f>
        <v>716611.37000000011</v>
      </c>
      <c r="F33" s="12">
        <f>-316918.19+55599.09</f>
        <v>-261319.1</v>
      </c>
      <c r="G33" s="12">
        <v>-5288.25</v>
      </c>
      <c r="H33" s="12">
        <v>0</v>
      </c>
      <c r="I33" s="12">
        <f>-1953.41+1336.22</f>
        <v>-617.19000000000005</v>
      </c>
      <c r="J33" s="12">
        <f>249535.26+4986.6</f>
        <v>254521.86000000002</v>
      </c>
      <c r="K33" s="12">
        <f>-14343.75+9364.38</f>
        <v>-4979.3700000000008</v>
      </c>
      <c r="L33" s="12">
        <f>-16464.49+97345.49</f>
        <v>80881</v>
      </c>
      <c r="M33" s="12">
        <v>17762.96</v>
      </c>
      <c r="N33" s="12">
        <v>19875.759999999998</v>
      </c>
    </row>
    <row r="34" spans="1:15" ht="15.75" customHeight="1" x14ac:dyDescent="0.25">
      <c r="A34" s="1" t="s">
        <v>59</v>
      </c>
      <c r="B34" s="9">
        <f t="shared" ref="B34:N34" si="9">B33-B32</f>
        <v>-47974.89000000013</v>
      </c>
      <c r="C34" s="9">
        <f t="shared" si="9"/>
        <v>14218.239999999932</v>
      </c>
      <c r="D34" s="9">
        <f t="shared" si="9"/>
        <v>1232.2699999997858</v>
      </c>
      <c r="E34" s="9">
        <f t="shared" si="9"/>
        <v>906.22000000032131</v>
      </c>
      <c r="F34" s="9">
        <f t="shared" si="9"/>
        <v>9137.9899999999616</v>
      </c>
      <c r="G34" s="9">
        <f t="shared" si="9"/>
        <v>0</v>
      </c>
      <c r="H34" s="9">
        <f t="shared" si="9"/>
        <v>0</v>
      </c>
      <c r="I34" s="9">
        <f t="shared" si="9"/>
        <v>9.9999999970350473E-3</v>
      </c>
      <c r="J34" s="9">
        <f t="shared" si="9"/>
        <v>0</v>
      </c>
      <c r="K34" s="9">
        <f t="shared" si="9"/>
        <v>-46245.49</v>
      </c>
      <c r="L34" s="9">
        <f t="shared" si="9"/>
        <v>-538.17999999999302</v>
      </c>
      <c r="M34" s="9">
        <f t="shared" si="9"/>
        <v>-26685.949999999983</v>
      </c>
      <c r="N34" s="9">
        <f t="shared" si="9"/>
        <v>0</v>
      </c>
      <c r="O34" s="12"/>
    </row>
    <row r="35" spans="1:15" ht="15.75" customHeight="1" x14ac:dyDescent="0.25">
      <c r="A35" s="28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5" ht="15.75" customHeight="1" x14ac:dyDescent="0.25">
      <c r="A36" s="29" t="s">
        <v>61</v>
      </c>
      <c r="B36" s="16">
        <f>M7</f>
        <v>44419.169999999991</v>
      </c>
      <c r="C36" s="17" t="s">
        <v>3</v>
      </c>
      <c r="D36" s="17" t="s">
        <v>4</v>
      </c>
      <c r="E36" s="17" t="s">
        <v>5</v>
      </c>
      <c r="F36" s="17" t="s">
        <v>6</v>
      </c>
      <c r="G36" s="17" t="s">
        <v>118</v>
      </c>
      <c r="H36" s="17" t="s">
        <v>35</v>
      </c>
      <c r="I36" s="17" t="s">
        <v>8</v>
      </c>
      <c r="J36" s="17" t="s">
        <v>36</v>
      </c>
      <c r="K36" s="17" t="s">
        <v>37</v>
      </c>
      <c r="L36" s="17" t="s">
        <v>38</v>
      </c>
      <c r="M36" s="17" t="s">
        <v>12</v>
      </c>
      <c r="N36" s="17" t="s">
        <v>13</v>
      </c>
    </row>
    <row r="37" spans="1:15" ht="15.75" customHeight="1" x14ac:dyDescent="0.25">
      <c r="A37" s="19" t="s">
        <v>62</v>
      </c>
      <c r="B37" s="10">
        <f t="shared" ref="B37:B40" si="10">C37+E37+D37+F37</f>
        <v>16182.849999999999</v>
      </c>
      <c r="C37" s="10">
        <f>2100+2807.69+480+333.46+77.98</f>
        <v>5799.13</v>
      </c>
      <c r="D37" s="10">
        <f>792.57+49.14+11.49</f>
        <v>853.2</v>
      </c>
      <c r="E37" s="10">
        <f>72+520.74+121.78</f>
        <v>714.52</v>
      </c>
      <c r="F37" s="10">
        <f>4536.24+111.84+1118.4+1102+1947.52</f>
        <v>8816</v>
      </c>
      <c r="H37" s="25"/>
      <c r="I37" s="25"/>
      <c r="J37" s="25"/>
      <c r="K37" s="25"/>
      <c r="L37" s="25"/>
      <c r="M37" s="25"/>
      <c r="N37" s="25"/>
    </row>
    <row r="38" spans="1:15" ht="15.75" customHeight="1" x14ac:dyDescent="0.25">
      <c r="A38" s="10"/>
      <c r="B38" s="10">
        <f t="shared" si="10"/>
        <v>29554.030000000006</v>
      </c>
      <c r="C38" s="10">
        <f>1372.32+2626+1666.58+2100+2807.69+775+3140.1+1335+480+296+648+136.08+1080.52+252.7</f>
        <v>18715.990000000005</v>
      </c>
      <c r="D38" s="10">
        <f>59.8+292.33+792.57+70.97+16.6</f>
        <v>1232.27</v>
      </c>
      <c r="E38" s="10">
        <f>126+521.96+122.07</f>
        <v>770.03</v>
      </c>
      <c r="F38" s="10">
        <f>19.74+5289.64+279.6+2516.4+730.36</f>
        <v>8835.7400000000016</v>
      </c>
      <c r="H38" s="25"/>
      <c r="I38" s="25"/>
      <c r="J38" s="25"/>
      <c r="K38" s="25"/>
      <c r="L38" s="25"/>
      <c r="M38" s="25"/>
      <c r="N38" s="25"/>
    </row>
    <row r="39" spans="1:15" ht="15.75" customHeight="1" x14ac:dyDescent="0.25">
      <c r="A39" s="21"/>
      <c r="B39" s="10">
        <f t="shared" si="10"/>
        <v>0</v>
      </c>
      <c r="C39" s="10"/>
      <c r="D39" s="10"/>
      <c r="E39" s="10"/>
      <c r="F39" s="10"/>
      <c r="H39" s="25"/>
      <c r="I39" s="25"/>
      <c r="J39" s="25"/>
      <c r="K39" s="25"/>
      <c r="L39" s="25"/>
      <c r="M39" s="25"/>
      <c r="N39" s="25"/>
    </row>
    <row r="40" spans="1:15" ht="15.75" customHeight="1" x14ac:dyDescent="0.25">
      <c r="A40" s="21"/>
      <c r="B40" s="10">
        <f t="shared" si="10"/>
        <v>0</v>
      </c>
      <c r="C40" s="10"/>
      <c r="D40" s="10"/>
      <c r="E40" s="10"/>
      <c r="F40" s="10"/>
      <c r="H40" s="21"/>
      <c r="I40" s="21"/>
      <c r="J40" s="21"/>
      <c r="K40" s="21"/>
      <c r="L40" s="21"/>
      <c r="M40" s="21"/>
      <c r="N40" s="21"/>
    </row>
    <row r="41" spans="1:15" ht="15.75" customHeight="1" x14ac:dyDescent="0.25">
      <c r="A41" s="21"/>
      <c r="B41" s="10">
        <f>C41+D41+E41</f>
        <v>0</v>
      </c>
      <c r="C41" s="10"/>
      <c r="D41" s="10"/>
      <c r="E41" s="10"/>
      <c r="F41" s="10"/>
      <c r="H41" s="21"/>
      <c r="I41" s="21"/>
      <c r="J41" s="21"/>
      <c r="K41" s="21"/>
      <c r="L41" s="21"/>
      <c r="M41" s="21"/>
      <c r="N41" s="21"/>
    </row>
    <row r="42" spans="1:15" ht="15.75" customHeight="1" x14ac:dyDescent="0.25">
      <c r="A42" s="1" t="s">
        <v>63</v>
      </c>
      <c r="B42" s="26">
        <f t="shared" ref="B42:B43" si="11">M42</f>
        <v>45736.880000000005</v>
      </c>
      <c r="C42" s="10">
        <f t="shared" ref="C42:L42" si="12">SUM(C37:C41)</f>
        <v>24515.120000000006</v>
      </c>
      <c r="D42" s="10">
        <f t="shared" si="12"/>
        <v>2085.4700000000003</v>
      </c>
      <c r="E42" s="10">
        <f t="shared" si="12"/>
        <v>1484.55</v>
      </c>
      <c r="F42" s="10">
        <f t="shared" si="12"/>
        <v>17651.740000000002</v>
      </c>
      <c r="G42" s="10">
        <f t="shared" si="12"/>
        <v>0</v>
      </c>
      <c r="H42" s="10">
        <f t="shared" si="12"/>
        <v>0</v>
      </c>
      <c r="I42" s="10">
        <f t="shared" si="12"/>
        <v>0</v>
      </c>
      <c r="J42" s="10">
        <f t="shared" si="12"/>
        <v>0</v>
      </c>
      <c r="K42" s="10">
        <f t="shared" si="12"/>
        <v>0</v>
      </c>
      <c r="L42" s="10">
        <f t="shared" si="12"/>
        <v>0</v>
      </c>
      <c r="M42" s="26">
        <f>SUM(C42:L42)</f>
        <v>45736.880000000005</v>
      </c>
      <c r="N42" s="9"/>
    </row>
    <row r="43" spans="1:15" ht="15.75" customHeight="1" x14ac:dyDescent="0.25">
      <c r="A43" s="1" t="s">
        <v>49</v>
      </c>
      <c r="B43" s="26">
        <f t="shared" si="11"/>
        <v>0</v>
      </c>
      <c r="D43" s="10"/>
      <c r="E43" s="10"/>
      <c r="F43" s="10"/>
      <c r="H43" s="9"/>
      <c r="I43" s="9"/>
      <c r="J43" s="9"/>
      <c r="K43" s="9"/>
      <c r="L43" s="9"/>
      <c r="M43" s="26"/>
      <c r="N43" s="9"/>
    </row>
    <row r="44" spans="1:15" ht="15.75" customHeight="1" x14ac:dyDescent="0.25">
      <c r="A44" s="1" t="s">
        <v>64</v>
      </c>
      <c r="B44" s="9"/>
      <c r="C44" s="10"/>
      <c r="D44" s="10"/>
      <c r="E44" s="10"/>
      <c r="F44" s="10"/>
      <c r="H44" s="10"/>
      <c r="I44" s="10"/>
      <c r="J44" s="10"/>
      <c r="K44" s="10"/>
      <c r="L44" s="10"/>
      <c r="M44" s="10"/>
      <c r="N44" s="10"/>
    </row>
    <row r="45" spans="1:15" ht="15.75" customHeight="1" x14ac:dyDescent="0.25">
      <c r="A45" s="21" t="s">
        <v>65</v>
      </c>
      <c r="C45" s="10"/>
      <c r="D45" s="10"/>
      <c r="E45" s="10"/>
      <c r="F45" s="10"/>
      <c r="H45" s="10"/>
      <c r="I45" s="10"/>
      <c r="J45" s="10"/>
      <c r="K45" s="10"/>
      <c r="L45" s="10"/>
      <c r="M45" s="10">
        <v>28057.96</v>
      </c>
      <c r="N45" s="10"/>
      <c r="O45" s="10"/>
    </row>
    <row r="46" spans="1:15" ht="15.75" customHeight="1" x14ac:dyDescent="0.25">
      <c r="A46" s="21" t="s">
        <v>66</v>
      </c>
      <c r="C46" s="10"/>
      <c r="D46" s="10"/>
      <c r="E46" s="10"/>
      <c r="F46" s="10"/>
      <c r="H46" s="10"/>
      <c r="I46" s="10"/>
      <c r="J46" s="10"/>
      <c r="K46" s="10"/>
      <c r="L46" s="10"/>
      <c r="M46" s="10">
        <v>2628.37</v>
      </c>
      <c r="N46" s="10"/>
    </row>
    <row r="47" spans="1:15" ht="15.75" customHeight="1" x14ac:dyDescent="0.25">
      <c r="A47" s="21" t="s">
        <v>67</v>
      </c>
      <c r="C47" s="10"/>
      <c r="D47" s="10"/>
      <c r="E47" s="10"/>
      <c r="F47" s="10"/>
      <c r="H47" s="10"/>
      <c r="I47" s="10"/>
      <c r="J47" s="10"/>
      <c r="K47" s="10"/>
      <c r="L47" s="10"/>
      <c r="M47" s="10">
        <v>9507.2800000000007</v>
      </c>
      <c r="N47" s="10"/>
    </row>
    <row r="48" spans="1:15" ht="15.75" customHeight="1" x14ac:dyDescent="0.25">
      <c r="A48" s="21" t="s">
        <v>68</v>
      </c>
      <c r="B48" s="10"/>
      <c r="C48" s="10"/>
      <c r="D48" s="10"/>
      <c r="E48" s="10"/>
      <c r="F48" s="10"/>
      <c r="H48" s="10"/>
      <c r="I48" s="10"/>
      <c r="J48" s="10"/>
      <c r="K48" s="10"/>
      <c r="L48" s="10"/>
      <c r="M48" s="10">
        <v>1363.94</v>
      </c>
      <c r="N48" s="10"/>
    </row>
    <row r="49" spans="1:14" ht="15.75" customHeight="1" x14ac:dyDescent="0.25">
      <c r="A49" s="21" t="s">
        <v>69</v>
      </c>
      <c r="B49" s="10"/>
      <c r="C49" s="10"/>
      <c r="D49" s="10"/>
      <c r="E49" s="10"/>
      <c r="F49" s="10"/>
      <c r="H49" s="10"/>
      <c r="I49" s="10"/>
      <c r="J49" s="10"/>
      <c r="K49" s="10"/>
      <c r="L49" s="10"/>
      <c r="M49" s="10">
        <v>248</v>
      </c>
      <c r="N49" s="10"/>
    </row>
    <row r="50" spans="1:14" ht="15.75" customHeight="1" x14ac:dyDescent="0.25">
      <c r="A50" s="21" t="s">
        <v>70</v>
      </c>
      <c r="B50" s="10"/>
      <c r="C50" s="10"/>
      <c r="D50" s="10"/>
      <c r="E50" s="10"/>
      <c r="F50" s="10"/>
      <c r="H50" s="10"/>
      <c r="I50" s="10"/>
      <c r="J50" s="10"/>
      <c r="K50" s="10"/>
      <c r="L50" s="10"/>
      <c r="M50" s="10">
        <v>1973.72</v>
      </c>
      <c r="N50" s="10"/>
    </row>
    <row r="51" spans="1:14" ht="15.75" customHeight="1" x14ac:dyDescent="0.25">
      <c r="A51" s="21" t="s">
        <v>71</v>
      </c>
      <c r="B51" s="10"/>
      <c r="C51" s="10"/>
      <c r="D51" s="10"/>
      <c r="E51" s="10"/>
      <c r="F51" s="10"/>
      <c r="H51" s="10"/>
      <c r="I51" s="10"/>
      <c r="J51" s="10"/>
      <c r="K51" s="10"/>
      <c r="L51" s="10"/>
      <c r="M51" s="10">
        <v>930.97</v>
      </c>
      <c r="N51" s="10"/>
    </row>
    <row r="52" spans="1:14" ht="15.75" customHeight="1" x14ac:dyDescent="0.25">
      <c r="A52" s="21" t="s">
        <v>72</v>
      </c>
      <c r="B52" s="10"/>
      <c r="C52" s="10"/>
      <c r="D52" s="10"/>
      <c r="E52" s="10"/>
      <c r="F52" s="10"/>
      <c r="H52" s="10"/>
      <c r="I52" s="10"/>
      <c r="J52" s="10"/>
      <c r="K52" s="10"/>
      <c r="L52" s="10"/>
      <c r="M52" s="10">
        <v>769.74</v>
      </c>
      <c r="N52" s="10"/>
    </row>
    <row r="53" spans="1:14" ht="15.75" customHeight="1" x14ac:dyDescent="0.25">
      <c r="A53" s="21" t="s">
        <v>73</v>
      </c>
      <c r="B53" s="10"/>
      <c r="C53" s="10"/>
      <c r="D53" s="10"/>
      <c r="E53" s="10"/>
      <c r="F53" s="10"/>
      <c r="H53" s="10"/>
      <c r="I53" s="10"/>
      <c r="J53" s="10"/>
      <c r="K53" s="10"/>
      <c r="L53" s="10"/>
      <c r="M53" s="10">
        <v>227.16</v>
      </c>
      <c r="N53" s="10"/>
    </row>
    <row r="54" spans="1:14" ht="15.75" customHeight="1" x14ac:dyDescent="0.25">
      <c r="A54" s="1" t="s">
        <v>74</v>
      </c>
      <c r="B54" s="26">
        <f>SUM(C54:M54)</f>
        <v>45707.140000000007</v>
      </c>
      <c r="C54" s="10"/>
      <c r="D54" s="10"/>
      <c r="E54" s="10"/>
      <c r="F54" s="10"/>
      <c r="H54" s="9"/>
      <c r="I54" s="9"/>
      <c r="J54" s="9"/>
      <c r="K54" s="9"/>
      <c r="L54" s="9"/>
      <c r="M54" s="26">
        <f>SUM(M45:M53)</f>
        <v>45707.140000000007</v>
      </c>
      <c r="N54" s="9"/>
    </row>
    <row r="55" spans="1:14" ht="15.75" customHeight="1" x14ac:dyDescent="0.25">
      <c r="A55" s="1" t="s">
        <v>57</v>
      </c>
      <c r="B55" s="15">
        <f>B36+B42+B43-B54</f>
        <v>44448.909999999982</v>
      </c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14" ht="15.75" customHeight="1" x14ac:dyDescent="0.25">
      <c r="A56" s="1"/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ht="15.75" customHeight="1" x14ac:dyDescent="0.25">
      <c r="A57" s="2" t="s">
        <v>75</v>
      </c>
      <c r="B57" s="3" t="s">
        <v>2</v>
      </c>
      <c r="C57" s="4" t="s">
        <v>3</v>
      </c>
      <c r="D57" s="4" t="s">
        <v>4</v>
      </c>
      <c r="E57" s="4" t="s">
        <v>5</v>
      </c>
      <c r="F57" s="4" t="s">
        <v>6</v>
      </c>
      <c r="G57" s="4" t="s">
        <v>7</v>
      </c>
      <c r="H57" s="4" t="s">
        <v>7</v>
      </c>
      <c r="I57" s="4" t="s">
        <v>8</v>
      </c>
      <c r="J57" s="4" t="s">
        <v>9</v>
      </c>
      <c r="K57" s="4" t="s">
        <v>9</v>
      </c>
      <c r="L57" s="4" t="s">
        <v>9</v>
      </c>
      <c r="M57" s="4" t="s">
        <v>12</v>
      </c>
      <c r="N57" s="4" t="s">
        <v>13</v>
      </c>
    </row>
    <row r="58" spans="1:14" ht="15.75" customHeight="1" x14ac:dyDescent="0.25">
      <c r="A58" s="6" t="s">
        <v>14</v>
      </c>
      <c r="B58" s="6" t="s">
        <v>76</v>
      </c>
      <c r="C58" s="7" t="s">
        <v>16</v>
      </c>
      <c r="D58" s="7" t="s">
        <v>17</v>
      </c>
      <c r="E58" s="7" t="s">
        <v>18</v>
      </c>
      <c r="F58" s="7" t="s">
        <v>19</v>
      </c>
      <c r="G58" s="7" t="s">
        <v>117</v>
      </c>
      <c r="H58" s="7" t="s">
        <v>21</v>
      </c>
      <c r="I58" s="7" t="s">
        <v>22</v>
      </c>
      <c r="J58" s="7" t="s">
        <v>77</v>
      </c>
      <c r="K58" s="7" t="s">
        <v>24</v>
      </c>
      <c r="L58" s="7" t="s">
        <v>25</v>
      </c>
      <c r="M58" s="7" t="s">
        <v>26</v>
      </c>
      <c r="N58" s="7" t="s">
        <v>27</v>
      </c>
    </row>
    <row r="59" spans="1:14" ht="15.75" customHeight="1" x14ac:dyDescent="0.25">
      <c r="A59" s="8" t="s">
        <v>28</v>
      </c>
      <c r="B59" s="9">
        <f t="shared" ref="B59:B60" si="13">SUM(C59:N59)</f>
        <v>44448.909999999982</v>
      </c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>
        <f>B55</f>
        <v>44448.909999999982</v>
      </c>
      <c r="N59" s="10"/>
    </row>
    <row r="60" spans="1:14" ht="15.75" customHeight="1" x14ac:dyDescent="0.25">
      <c r="A60" s="8" t="s">
        <v>78</v>
      </c>
      <c r="B60" s="9">
        <f t="shared" si="13"/>
        <v>2114630.8800000004</v>
      </c>
      <c r="C60" s="12">
        <f t="shared" ref="C60:L60" si="14">C32</f>
        <v>414666.88000000006</v>
      </c>
      <c r="D60" s="12">
        <f t="shared" si="14"/>
        <v>863538.4700000002</v>
      </c>
      <c r="E60" s="12">
        <f t="shared" si="14"/>
        <v>715705.14999999979</v>
      </c>
      <c r="F60" s="12">
        <f t="shared" si="14"/>
        <v>-270457.08999999997</v>
      </c>
      <c r="G60" s="10">
        <f t="shared" si="14"/>
        <v>-5288.25</v>
      </c>
      <c r="H60" s="10">
        <f t="shared" si="14"/>
        <v>0</v>
      </c>
      <c r="I60" s="10">
        <f t="shared" si="14"/>
        <v>-617.19999999999709</v>
      </c>
      <c r="J60" s="10">
        <f t="shared" si="14"/>
        <v>254521.86000000002</v>
      </c>
      <c r="K60" s="10">
        <f t="shared" si="14"/>
        <v>41266.119999999995</v>
      </c>
      <c r="L60" s="10">
        <f t="shared" si="14"/>
        <v>81419.179999999993</v>
      </c>
      <c r="M60" s="10"/>
      <c r="N60" s="10">
        <f>N32</f>
        <v>19875.759999999998</v>
      </c>
    </row>
    <row r="61" spans="1:14" ht="15.75" customHeight="1" x14ac:dyDescent="0.25">
      <c r="A61" s="8"/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ht="15.75" customHeight="1" x14ac:dyDescent="0.25">
      <c r="A62" s="1" t="s">
        <v>32</v>
      </c>
      <c r="B62" s="15">
        <f>SUM(C62:N62)</f>
        <v>2159079.79</v>
      </c>
      <c r="C62" s="15">
        <f t="shared" ref="C62:N62" si="15">SUM(C59:C60)</f>
        <v>414666.88000000006</v>
      </c>
      <c r="D62" s="15">
        <f t="shared" si="15"/>
        <v>863538.4700000002</v>
      </c>
      <c r="E62" s="15">
        <f t="shared" si="15"/>
        <v>715705.14999999979</v>
      </c>
      <c r="F62" s="15">
        <f t="shared" si="15"/>
        <v>-270457.08999999997</v>
      </c>
      <c r="G62" s="15">
        <f t="shared" si="15"/>
        <v>-5288.25</v>
      </c>
      <c r="H62" s="15">
        <f t="shared" si="15"/>
        <v>0</v>
      </c>
      <c r="I62" s="15">
        <f t="shared" si="15"/>
        <v>-617.19999999999709</v>
      </c>
      <c r="J62" s="15">
        <f t="shared" si="15"/>
        <v>254521.86000000002</v>
      </c>
      <c r="K62" s="15">
        <f t="shared" si="15"/>
        <v>41266.119999999995</v>
      </c>
      <c r="L62" s="15">
        <f t="shared" si="15"/>
        <v>81419.179999999993</v>
      </c>
      <c r="M62" s="15">
        <f t="shared" si="15"/>
        <v>44448.909999999982</v>
      </c>
      <c r="N62" s="15">
        <f t="shared" si="15"/>
        <v>19875.759999999998</v>
      </c>
    </row>
    <row r="63" spans="1:14" ht="15.75" customHeight="1" x14ac:dyDescent="0.25">
      <c r="A63" s="21"/>
      <c r="B63" s="21"/>
      <c r="C63" s="10"/>
      <c r="D63" s="10"/>
      <c r="E63" s="10"/>
      <c r="F63" s="10"/>
    </row>
    <row r="64" spans="1:14" ht="15.75" customHeight="1" x14ac:dyDescent="0.25">
      <c r="A64" s="21" t="str">
        <f>A1</f>
        <v xml:space="preserve">Month: September 2025                                                                                                                                </v>
      </c>
      <c r="B64" s="21"/>
      <c r="D64" s="10"/>
      <c r="E64" s="10"/>
      <c r="G64" s="10"/>
      <c r="H64" s="10"/>
      <c r="I64" s="10"/>
    </row>
    <row r="65" spans="1:19" ht="15.75" customHeight="1" x14ac:dyDescent="0.25">
      <c r="A65" s="10"/>
      <c r="B65" s="27" t="s">
        <v>79</v>
      </c>
      <c r="C65" s="27" t="s">
        <v>80</v>
      </c>
      <c r="D65" s="27" t="s">
        <v>81</v>
      </c>
      <c r="E65" s="27" t="s">
        <v>82</v>
      </c>
      <c r="F65" s="11" t="s">
        <v>83</v>
      </c>
      <c r="G65" s="10"/>
      <c r="H65" s="10"/>
      <c r="I65" s="10"/>
    </row>
    <row r="66" spans="1:19" ht="15.75" customHeight="1" x14ac:dyDescent="0.25">
      <c r="A66" s="30" t="s">
        <v>84</v>
      </c>
      <c r="B66" s="10"/>
      <c r="C66" s="10">
        <v>330774.99</v>
      </c>
      <c r="D66" s="10">
        <f>C91</f>
        <v>14561.630000000001</v>
      </c>
      <c r="E66" s="10">
        <f>D87</f>
        <v>0</v>
      </c>
      <c r="F66" s="10">
        <f t="shared" ref="F66:F67" si="16">(C66-D66+E66)-B66</f>
        <v>316213.36</v>
      </c>
      <c r="G66" s="10"/>
      <c r="H66" s="10"/>
      <c r="I66" s="10">
        <f>C66-D66</f>
        <v>316213.36</v>
      </c>
      <c r="O66" s="14"/>
    </row>
    <row r="67" spans="1:19" ht="15.75" customHeight="1" x14ac:dyDescent="0.25">
      <c r="A67" s="30" t="s">
        <v>85</v>
      </c>
      <c r="B67" s="10">
        <f>B33-M33</f>
        <v>2093341.94</v>
      </c>
      <c r="C67" s="10">
        <f>4188.86+1779152.88</f>
        <v>1783341.74</v>
      </c>
      <c r="D67" s="10">
        <f>D83</f>
        <v>0</v>
      </c>
      <c r="E67" s="10">
        <f>E79</f>
        <v>0</v>
      </c>
      <c r="F67" s="10">
        <f t="shared" si="16"/>
        <v>-310000.19999999995</v>
      </c>
      <c r="H67" s="10"/>
      <c r="I67" s="10">
        <f>C67+E67</f>
        <v>1783341.74</v>
      </c>
    </row>
    <row r="68" spans="1:19" ht="15.75" customHeight="1" x14ac:dyDescent="0.25">
      <c r="A68" s="30"/>
      <c r="B68" s="10"/>
      <c r="C68" s="10"/>
      <c r="D68" s="10"/>
      <c r="F68" s="31">
        <f>F66+F67</f>
        <v>6213.1600000000326</v>
      </c>
      <c r="G68" s="10"/>
      <c r="H68" s="10"/>
      <c r="I68" s="10">
        <f>I66+I67</f>
        <v>2099555.1</v>
      </c>
      <c r="O68" s="14"/>
    </row>
    <row r="69" spans="1:19" ht="15.75" customHeight="1" x14ac:dyDescent="0.25">
      <c r="A69" s="30" t="s">
        <v>28</v>
      </c>
      <c r="B69" s="10">
        <f>B55</f>
        <v>44448.909999999982</v>
      </c>
      <c r="C69" s="10">
        <v>53433.41</v>
      </c>
      <c r="D69" s="10">
        <f>J84</f>
        <v>2302.4</v>
      </c>
      <c r="E69" s="10">
        <f>J89</f>
        <v>0</v>
      </c>
      <c r="F69" s="10">
        <f>(C69-D69+E69)-B69</f>
        <v>6682.1000000000204</v>
      </c>
      <c r="G69" s="10"/>
      <c r="H69" s="10"/>
      <c r="I69" s="10"/>
    </row>
    <row r="70" spans="1:19" ht="15.75" customHeight="1" x14ac:dyDescent="0.25">
      <c r="A70" s="8"/>
      <c r="B70" s="10"/>
      <c r="C70" s="10" t="s">
        <v>86</v>
      </c>
      <c r="D70" s="10"/>
      <c r="E70" s="10" t="s">
        <v>87</v>
      </c>
      <c r="F70" s="31">
        <f>F68+F69</f>
        <v>12895.260000000053</v>
      </c>
      <c r="G70" s="10"/>
      <c r="H70" s="10"/>
      <c r="I70" s="10"/>
      <c r="J70" s="32"/>
      <c r="K70" s="32"/>
      <c r="L70" s="32"/>
      <c r="M70" s="32"/>
      <c r="N70" s="32"/>
    </row>
    <row r="71" spans="1:19" ht="15.75" customHeight="1" x14ac:dyDescent="0.25">
      <c r="A71" s="8"/>
      <c r="B71" s="10"/>
      <c r="C71" s="10"/>
      <c r="D71" s="10"/>
      <c r="E71" s="10"/>
      <c r="F71" s="10"/>
      <c r="G71" s="10"/>
      <c r="H71" s="10"/>
      <c r="I71" s="10"/>
      <c r="J71" s="32"/>
      <c r="K71" s="32"/>
      <c r="L71" s="32"/>
      <c r="M71" s="32"/>
      <c r="N71" s="32"/>
    </row>
    <row r="72" spans="1:19" ht="15.75" customHeight="1" x14ac:dyDescent="0.25">
      <c r="A72" s="27"/>
      <c r="B72" s="69" t="s">
        <v>88</v>
      </c>
      <c r="C72" s="70"/>
      <c r="D72" s="71" t="s">
        <v>89</v>
      </c>
      <c r="E72" s="72"/>
      <c r="F72" s="23" t="s">
        <v>90</v>
      </c>
      <c r="J72" s="33" t="s">
        <v>91</v>
      </c>
      <c r="K72" s="34"/>
      <c r="L72" s="34"/>
      <c r="M72" s="32"/>
      <c r="N72" s="32"/>
      <c r="O72" s="32"/>
      <c r="P72" s="32"/>
      <c r="Q72" s="32"/>
    </row>
    <row r="73" spans="1:19" ht="15.75" customHeight="1" x14ac:dyDescent="0.25">
      <c r="A73" s="52">
        <v>45728</v>
      </c>
      <c r="B73" s="54">
        <v>18859</v>
      </c>
      <c r="C73" s="53">
        <v>61.04</v>
      </c>
      <c r="D73" s="36" t="s">
        <v>92</v>
      </c>
      <c r="E73" s="37">
        <v>0</v>
      </c>
      <c r="H73" s="35">
        <v>45883</v>
      </c>
      <c r="I73" s="23">
        <v>8495</v>
      </c>
      <c r="J73" s="23">
        <v>263.51</v>
      </c>
      <c r="L73" s="8"/>
      <c r="S73" s="14"/>
    </row>
    <row r="74" spans="1:19" ht="15.75" customHeight="1" x14ac:dyDescent="0.25">
      <c r="A74" s="52">
        <v>45910</v>
      </c>
      <c r="B74" s="54">
        <v>19099</v>
      </c>
      <c r="C74" s="53">
        <v>800</v>
      </c>
      <c r="D74" s="38" t="s">
        <v>93</v>
      </c>
      <c r="E74" s="39">
        <v>0</v>
      </c>
      <c r="F74" s="22"/>
      <c r="H74" s="35">
        <v>45925</v>
      </c>
      <c r="I74" s="23">
        <v>8537</v>
      </c>
      <c r="J74" s="23">
        <v>263.51</v>
      </c>
      <c r="L74" s="8"/>
      <c r="S74" s="14"/>
    </row>
    <row r="75" spans="1:19" ht="15.75" customHeight="1" x14ac:dyDescent="0.25">
      <c r="A75" s="52">
        <v>45925</v>
      </c>
      <c r="B75" s="54">
        <v>19123</v>
      </c>
      <c r="C75" s="53">
        <v>1049.56</v>
      </c>
      <c r="D75" s="38" t="s">
        <v>94</v>
      </c>
      <c r="E75" s="39">
        <v>0</v>
      </c>
      <c r="F75" s="22"/>
      <c r="H75" s="52">
        <v>45925</v>
      </c>
      <c r="I75" s="54">
        <v>8539</v>
      </c>
      <c r="J75" s="53">
        <v>238.72</v>
      </c>
      <c r="K75" s="8"/>
      <c r="L75" s="8"/>
      <c r="S75" s="14"/>
    </row>
    <row r="76" spans="1:19" ht="15.75" customHeight="1" x14ac:dyDescent="0.25">
      <c r="A76" s="52">
        <v>45925</v>
      </c>
      <c r="B76" s="54">
        <v>19124</v>
      </c>
      <c r="C76" s="53">
        <v>10047.290000000001</v>
      </c>
      <c r="D76" s="38" t="s">
        <v>95</v>
      </c>
      <c r="E76" s="39">
        <v>0</v>
      </c>
      <c r="F76" s="22"/>
      <c r="H76" s="52">
        <v>45925</v>
      </c>
      <c r="I76" s="54">
        <v>8551</v>
      </c>
      <c r="J76" s="53">
        <v>1061.53</v>
      </c>
      <c r="K76" s="8"/>
      <c r="L76" s="8"/>
      <c r="S76" s="14"/>
    </row>
    <row r="77" spans="1:19" ht="15.75" customHeight="1" x14ac:dyDescent="0.25">
      <c r="A77" s="52">
        <v>45925</v>
      </c>
      <c r="B77" s="54">
        <v>19125</v>
      </c>
      <c r="C77" s="53">
        <v>103.74</v>
      </c>
      <c r="D77" s="38" t="s">
        <v>96</v>
      </c>
      <c r="E77" s="39">
        <v>0</v>
      </c>
      <c r="H77" s="52">
        <v>45925</v>
      </c>
      <c r="I77" s="54">
        <v>8557</v>
      </c>
      <c r="J77" s="53">
        <v>227.13</v>
      </c>
      <c r="K77" s="8"/>
      <c r="L77" s="8"/>
      <c r="S77" s="14"/>
    </row>
    <row r="78" spans="1:19" ht="15.75" customHeight="1" x14ac:dyDescent="0.25">
      <c r="A78" s="52">
        <v>45925</v>
      </c>
      <c r="B78" s="54">
        <v>19126</v>
      </c>
      <c r="C78" s="53">
        <v>2500</v>
      </c>
      <c r="D78" s="38" t="s">
        <v>97</v>
      </c>
      <c r="E78" s="39">
        <v>0</v>
      </c>
      <c r="F78" s="73" t="s">
        <v>98</v>
      </c>
      <c r="G78" s="72"/>
      <c r="H78" s="35">
        <v>45925</v>
      </c>
      <c r="I78" s="57">
        <v>8558</v>
      </c>
      <c r="J78" s="53">
        <v>248</v>
      </c>
      <c r="K78" s="8"/>
      <c r="L78" s="8"/>
      <c r="S78" s="14"/>
    </row>
    <row r="79" spans="1:19" ht="15.75" customHeight="1" x14ac:dyDescent="0.25">
      <c r="A79" s="52"/>
      <c r="B79" s="54"/>
      <c r="C79" s="53"/>
      <c r="D79" s="40"/>
      <c r="E79" s="41">
        <f>E73+E74+E75+E76+E77+E78</f>
        <v>0</v>
      </c>
      <c r="F79" s="42"/>
      <c r="G79" s="43"/>
      <c r="H79" s="35"/>
      <c r="J79" s="53"/>
      <c r="K79" s="8"/>
      <c r="L79" s="8"/>
      <c r="S79" s="14"/>
    </row>
    <row r="80" spans="1:19" ht="15.75" customHeight="1" x14ac:dyDescent="0.25">
      <c r="A80" s="52"/>
      <c r="B80" s="54"/>
      <c r="C80" s="53"/>
      <c r="D80" s="44" t="s">
        <v>99</v>
      </c>
      <c r="F80" s="23" t="s">
        <v>100</v>
      </c>
      <c r="G80" s="27"/>
      <c r="H80" s="35"/>
      <c r="J80" s="53"/>
      <c r="K80" s="8"/>
      <c r="L80" s="8"/>
      <c r="S80" s="14"/>
    </row>
    <row r="81" spans="1:19" ht="15.75" customHeight="1" x14ac:dyDescent="0.25">
      <c r="A81" s="52"/>
      <c r="B81" s="54"/>
      <c r="C81" s="53"/>
      <c r="D81" s="45"/>
      <c r="F81" s="23" t="s">
        <v>101</v>
      </c>
      <c r="G81" s="27"/>
      <c r="H81" s="27"/>
      <c r="I81" s="27"/>
      <c r="J81" s="10"/>
      <c r="K81" s="8"/>
      <c r="L81" s="8"/>
      <c r="S81" s="14"/>
    </row>
    <row r="82" spans="1:19" ht="15.75" customHeight="1" x14ac:dyDescent="0.25">
      <c r="A82" s="52"/>
      <c r="B82" s="54"/>
      <c r="C82" s="56"/>
      <c r="D82" s="14"/>
      <c r="F82" s="23" t="s">
        <v>102</v>
      </c>
      <c r="G82" s="27"/>
      <c r="H82" s="27"/>
      <c r="I82" s="27"/>
      <c r="J82" s="10"/>
      <c r="K82" s="8"/>
      <c r="L82" s="8"/>
      <c r="S82" s="14"/>
    </row>
    <row r="83" spans="1:19" ht="15.75" customHeight="1" x14ac:dyDescent="0.25">
      <c r="A83" s="52"/>
      <c r="B83" s="54"/>
      <c r="C83" s="53"/>
      <c r="D83" s="46">
        <f>SUM(D81:D82)</f>
        <v>0</v>
      </c>
      <c r="F83" s="23" t="s">
        <v>103</v>
      </c>
      <c r="G83" s="27"/>
      <c r="H83" s="27"/>
      <c r="I83" s="27"/>
      <c r="J83" s="10"/>
      <c r="K83" s="8"/>
      <c r="L83" s="8"/>
      <c r="S83" s="14"/>
    </row>
    <row r="84" spans="1:19" ht="15.75" customHeight="1" x14ac:dyDescent="0.25">
      <c r="A84" s="52"/>
      <c r="B84" s="54"/>
      <c r="C84" s="53"/>
      <c r="F84" s="23" t="s">
        <v>104</v>
      </c>
      <c r="G84" s="27"/>
      <c r="H84" s="27"/>
      <c r="I84" s="27"/>
      <c r="J84" s="47">
        <f>SUM(J73:J83)</f>
        <v>2302.4</v>
      </c>
      <c r="K84" s="8"/>
      <c r="L84" s="8"/>
      <c r="S84" s="14"/>
    </row>
    <row r="85" spans="1:19" ht="15.75" customHeight="1" x14ac:dyDescent="0.25">
      <c r="A85" s="52"/>
      <c r="B85" s="54"/>
      <c r="C85" s="53"/>
      <c r="F85" s="23" t="s">
        <v>105</v>
      </c>
      <c r="G85" s="27"/>
      <c r="H85" s="27"/>
      <c r="I85" s="27"/>
      <c r="J85" s="14"/>
      <c r="K85" s="8"/>
      <c r="L85" s="8"/>
      <c r="S85" s="14"/>
    </row>
    <row r="86" spans="1:19" ht="15.75" customHeight="1" x14ac:dyDescent="0.25">
      <c r="A86" s="52"/>
      <c r="C86" s="56"/>
      <c r="D86" s="33" t="s">
        <v>106</v>
      </c>
      <c r="E86" s="32"/>
      <c r="F86" s="23" t="s">
        <v>107</v>
      </c>
      <c r="G86" s="27"/>
      <c r="H86" s="27"/>
      <c r="I86" s="27"/>
      <c r="J86" s="33" t="s">
        <v>108</v>
      </c>
      <c r="K86" s="8"/>
      <c r="L86" s="8"/>
      <c r="S86" s="14"/>
    </row>
    <row r="87" spans="1:19" ht="15.75" customHeight="1" x14ac:dyDescent="0.25">
      <c r="A87" s="52"/>
      <c r="B87" s="23"/>
      <c r="C87" s="56"/>
      <c r="D87" s="45"/>
      <c r="E87" s="32"/>
      <c r="F87" s="14"/>
      <c r="J87" s="48"/>
      <c r="K87" s="8"/>
      <c r="L87" s="8"/>
      <c r="S87" s="14"/>
    </row>
    <row r="88" spans="1:19" ht="15" customHeight="1" x14ac:dyDescent="0.25">
      <c r="A88" s="35"/>
      <c r="B88" s="23"/>
      <c r="C88" s="56"/>
      <c r="D88" s="14"/>
      <c r="E88" s="32"/>
      <c r="F88" s="14"/>
      <c r="G88" s="14"/>
      <c r="H88" s="14"/>
      <c r="I88" s="14"/>
      <c r="J88" s="48"/>
      <c r="K88" s="8"/>
      <c r="L88" s="8"/>
      <c r="S88" s="14"/>
    </row>
    <row r="89" spans="1:19" ht="15" customHeight="1" x14ac:dyDescent="0.25">
      <c r="A89" s="35"/>
      <c r="C89" s="56"/>
      <c r="D89" s="14"/>
      <c r="E89" s="32"/>
      <c r="F89" s="14"/>
      <c r="G89" s="14"/>
      <c r="H89" s="49"/>
      <c r="I89" s="8"/>
      <c r="J89" s="50">
        <f>SUM(J87:J88)</f>
        <v>0</v>
      </c>
      <c r="Q89" s="14"/>
    </row>
    <row r="90" spans="1:19" ht="15" customHeight="1" x14ac:dyDescent="0.25">
      <c r="A90" s="35"/>
      <c r="B90" s="23"/>
      <c r="C90" s="14"/>
      <c r="D90" s="14"/>
      <c r="E90" s="32"/>
      <c r="F90" s="14"/>
      <c r="G90" s="14"/>
      <c r="H90" s="49"/>
      <c r="I90" s="8"/>
      <c r="J90" s="8"/>
      <c r="Q90" s="14"/>
    </row>
    <row r="91" spans="1:19" ht="15.75" customHeight="1" x14ac:dyDescent="0.25">
      <c r="C91" s="46">
        <f>SUM(C73:C90)</f>
        <v>14561.630000000001</v>
      </c>
      <c r="D91" s="14"/>
      <c r="E91" s="32"/>
      <c r="F91" s="14"/>
      <c r="G91" s="14"/>
      <c r="H91" s="49"/>
      <c r="I91" s="8"/>
      <c r="J91" s="8"/>
      <c r="Q91" s="14"/>
    </row>
    <row r="92" spans="1:19" ht="15.75" customHeight="1" x14ac:dyDescent="0.25">
      <c r="C92" s="14"/>
      <c r="D92" s="32"/>
      <c r="E92" s="14"/>
      <c r="F92" s="14"/>
      <c r="G92" s="49"/>
      <c r="H92" s="8"/>
      <c r="I92" s="8"/>
      <c r="P92" s="14"/>
    </row>
    <row r="93" spans="1:19" ht="15.75" customHeight="1" x14ac:dyDescent="0.25">
      <c r="C93" s="14"/>
      <c r="D93" s="32"/>
      <c r="E93" s="14"/>
      <c r="F93" s="14"/>
      <c r="G93" s="49"/>
      <c r="H93" s="8"/>
      <c r="I93" s="8"/>
      <c r="P93" s="14"/>
    </row>
    <row r="94" spans="1:19" ht="15.75" customHeight="1" x14ac:dyDescent="0.25">
      <c r="C94" s="14"/>
      <c r="D94" s="32"/>
      <c r="E94" s="14"/>
      <c r="F94" s="14"/>
      <c r="G94" s="49"/>
      <c r="H94" s="8"/>
      <c r="I94" s="8"/>
      <c r="P94" s="14"/>
    </row>
    <row r="95" spans="1:19" ht="15.75" customHeight="1" x14ac:dyDescent="0.25">
      <c r="C95" s="14"/>
      <c r="D95" s="32"/>
      <c r="E95" s="14"/>
      <c r="F95" s="14"/>
      <c r="G95" s="49"/>
      <c r="H95" s="8"/>
      <c r="I95" s="8"/>
      <c r="P95" s="14"/>
    </row>
    <row r="96" spans="1:19" ht="15.75" customHeight="1" x14ac:dyDescent="0.25">
      <c r="C96" s="14"/>
      <c r="D96" s="32"/>
      <c r="E96" s="14"/>
      <c r="F96" s="14"/>
      <c r="G96" s="49"/>
      <c r="H96" s="8"/>
      <c r="I96" s="8"/>
      <c r="P96" s="14"/>
    </row>
    <row r="97" spans="2:16" ht="15.75" customHeight="1" x14ac:dyDescent="0.25">
      <c r="C97" s="14"/>
      <c r="D97" s="32"/>
      <c r="E97" s="14"/>
      <c r="F97" s="14"/>
      <c r="G97" s="49"/>
      <c r="H97" s="8"/>
      <c r="I97" s="8"/>
      <c r="P97" s="14"/>
    </row>
    <row r="98" spans="2:16" ht="15.75" customHeight="1" x14ac:dyDescent="0.25">
      <c r="C98" s="14"/>
      <c r="D98" s="32"/>
      <c r="E98" s="14"/>
      <c r="F98" s="14"/>
      <c r="G98" s="49"/>
      <c r="H98" s="8"/>
      <c r="I98" s="8"/>
      <c r="P98" s="14"/>
    </row>
    <row r="99" spans="2:16" ht="15.75" customHeight="1" x14ac:dyDescent="0.25">
      <c r="C99" s="14"/>
      <c r="D99" s="32"/>
      <c r="E99" s="14"/>
      <c r="F99" s="14"/>
      <c r="G99" s="49"/>
      <c r="H99" s="8"/>
      <c r="I99" s="8"/>
      <c r="P99" s="14"/>
    </row>
    <row r="100" spans="2:16" ht="15.75" customHeight="1" x14ac:dyDescent="0.25">
      <c r="B100" s="22"/>
      <c r="C100" s="14"/>
      <c r="D100" s="32"/>
      <c r="E100" s="14"/>
      <c r="F100" s="14"/>
      <c r="G100" s="49"/>
      <c r="H100" s="8"/>
      <c r="I100" s="8"/>
      <c r="P100" s="14"/>
    </row>
    <row r="101" spans="2:16" ht="15.75" customHeight="1" x14ac:dyDescent="0.25">
      <c r="C101" s="14"/>
      <c r="D101" s="32"/>
      <c r="E101" s="14"/>
      <c r="F101" s="14"/>
      <c r="G101" s="49"/>
      <c r="H101" s="8"/>
      <c r="I101" s="8"/>
      <c r="P101" s="14"/>
    </row>
    <row r="102" spans="2:16" ht="15.75" customHeight="1" x14ac:dyDescent="0.25">
      <c r="C102" s="14"/>
      <c r="D102" s="32"/>
      <c r="E102" s="14"/>
      <c r="F102" s="14"/>
      <c r="G102" s="49"/>
      <c r="H102" s="8"/>
      <c r="I102" s="8"/>
      <c r="P102" s="14"/>
    </row>
    <row r="103" spans="2:16" ht="15.75" customHeight="1" x14ac:dyDescent="0.25">
      <c r="C103" s="14"/>
      <c r="D103" s="32"/>
      <c r="E103" s="14"/>
      <c r="F103" s="14"/>
      <c r="G103" s="49"/>
      <c r="H103" s="8"/>
      <c r="I103" s="8"/>
      <c r="P103" s="14"/>
    </row>
    <row r="104" spans="2:16" ht="15.75" customHeight="1" x14ac:dyDescent="0.25">
      <c r="B104" s="14"/>
      <c r="C104" s="14"/>
      <c r="D104" s="32"/>
      <c r="E104" s="14"/>
      <c r="F104" s="14"/>
      <c r="G104" s="49"/>
      <c r="H104" s="8"/>
      <c r="I104" s="8"/>
      <c r="P104" s="14"/>
    </row>
    <row r="105" spans="2:16" ht="15.75" customHeight="1" x14ac:dyDescent="0.25">
      <c r="B105" s="14"/>
      <c r="C105" s="14"/>
      <c r="D105" s="32"/>
      <c r="E105" s="14"/>
      <c r="F105" s="14"/>
      <c r="G105" s="49"/>
      <c r="H105" s="8"/>
      <c r="I105" s="8"/>
      <c r="P105" s="14"/>
    </row>
    <row r="106" spans="2:16" ht="15.75" customHeight="1" x14ac:dyDescent="0.25">
      <c r="B106" s="14"/>
      <c r="C106" s="14"/>
      <c r="D106" s="32"/>
      <c r="E106" s="14"/>
      <c r="F106" s="14"/>
      <c r="G106" s="49"/>
      <c r="H106" s="8"/>
      <c r="I106" s="8"/>
      <c r="P106" s="14"/>
    </row>
    <row r="107" spans="2:16" ht="15.75" customHeight="1" x14ac:dyDescent="0.25">
      <c r="B107" s="14"/>
      <c r="C107" s="22"/>
      <c r="H107" s="8"/>
      <c r="I107" s="8"/>
    </row>
    <row r="108" spans="2:16" ht="15.75" customHeight="1" x14ac:dyDescent="0.25">
      <c r="B108" s="14"/>
      <c r="E108" s="14"/>
    </row>
    <row r="109" spans="2:16" ht="15.75" customHeight="1" x14ac:dyDescent="0.25">
      <c r="B109" s="14"/>
    </row>
    <row r="110" spans="2:16" ht="15.75" customHeight="1" x14ac:dyDescent="0.25">
      <c r="B110" s="14"/>
      <c r="E110" s="14"/>
    </row>
    <row r="111" spans="2:16" ht="15.75" customHeight="1" x14ac:dyDescent="0.25">
      <c r="B111" s="14"/>
    </row>
    <row r="112" spans="2:16" ht="15.75" customHeight="1" x14ac:dyDescent="0.25">
      <c r="B112" s="14"/>
    </row>
    <row r="113" spans="1:3" ht="15.75" customHeight="1" x14ac:dyDescent="0.25">
      <c r="B113" s="14"/>
      <c r="C113" s="22"/>
    </row>
    <row r="114" spans="1:3" ht="15.75" customHeight="1" x14ac:dyDescent="0.25">
      <c r="B114" s="14"/>
    </row>
    <row r="115" spans="1:3" ht="15.75" customHeight="1" x14ac:dyDescent="0.25">
      <c r="B115" s="14"/>
    </row>
    <row r="116" spans="1:3" ht="15.75" customHeight="1" x14ac:dyDescent="0.25">
      <c r="B116" s="14"/>
    </row>
    <row r="117" spans="1:3" ht="15.75" customHeight="1" x14ac:dyDescent="0.25">
      <c r="B117" s="14"/>
    </row>
    <row r="118" spans="1:3" ht="15.75" customHeight="1" x14ac:dyDescent="0.25">
      <c r="A118" s="22"/>
      <c r="B118" s="14"/>
    </row>
    <row r="119" spans="1:3" ht="15.75" customHeight="1" x14ac:dyDescent="0.25">
      <c r="A119" s="22"/>
      <c r="B119" s="14"/>
    </row>
    <row r="120" spans="1:3" ht="15.75" customHeight="1" x14ac:dyDescent="0.25">
      <c r="A120" s="51"/>
      <c r="B120" s="14"/>
    </row>
    <row r="121" spans="1:3" ht="15.75" customHeight="1" x14ac:dyDescent="0.25">
      <c r="A121" s="51"/>
      <c r="B121" s="14"/>
    </row>
    <row r="122" spans="1:3" ht="15.75" customHeight="1" x14ac:dyDescent="0.25">
      <c r="A122" s="51"/>
      <c r="B122" s="14"/>
    </row>
    <row r="123" spans="1:3" ht="15.75" customHeight="1" x14ac:dyDescent="0.25">
      <c r="A123" s="51"/>
      <c r="B123" s="14"/>
    </row>
    <row r="124" spans="1:3" ht="15.75" customHeight="1" x14ac:dyDescent="0.25">
      <c r="A124" s="51"/>
      <c r="B124" s="14"/>
    </row>
    <row r="125" spans="1:3" ht="15.75" customHeight="1" x14ac:dyDescent="0.25">
      <c r="A125" s="51"/>
      <c r="B125" s="14"/>
    </row>
    <row r="126" spans="1:3" ht="15.75" customHeight="1" x14ac:dyDescent="0.25">
      <c r="A126" s="51"/>
      <c r="B126" s="14"/>
    </row>
    <row r="127" spans="1:3" ht="15.75" customHeight="1" x14ac:dyDescent="0.25">
      <c r="A127" s="51"/>
      <c r="B127" s="14"/>
    </row>
    <row r="128" spans="1:3" ht="15.75" customHeight="1" x14ac:dyDescent="0.25">
      <c r="A128" s="51"/>
      <c r="B128" s="14"/>
    </row>
    <row r="129" spans="1:2" ht="15.75" customHeight="1" x14ac:dyDescent="0.25">
      <c r="A129" s="51"/>
      <c r="B129" s="14"/>
    </row>
    <row r="130" spans="1:2" ht="15.75" customHeight="1" x14ac:dyDescent="0.25">
      <c r="A130" s="51"/>
      <c r="B130" s="14"/>
    </row>
    <row r="131" spans="1:2" ht="15.75" customHeight="1" x14ac:dyDescent="0.25">
      <c r="A131" s="51"/>
      <c r="B131" s="14"/>
    </row>
    <row r="132" spans="1:2" ht="15.75" customHeight="1" x14ac:dyDescent="0.25">
      <c r="A132" s="51"/>
    </row>
    <row r="133" spans="1:2" ht="15.75" customHeight="1" x14ac:dyDescent="0.25">
      <c r="A133" s="51"/>
      <c r="B133" s="14"/>
    </row>
    <row r="134" spans="1:2" ht="15.75" customHeight="1" x14ac:dyDescent="0.25">
      <c r="A134" s="51"/>
    </row>
    <row r="135" spans="1:2" ht="15.75" customHeight="1" x14ac:dyDescent="0.25">
      <c r="A135" s="51"/>
    </row>
    <row r="136" spans="1:2" ht="15.75" customHeight="1" x14ac:dyDescent="0.25"/>
    <row r="137" spans="1:2" ht="15.75" customHeight="1" x14ac:dyDescent="0.25"/>
    <row r="138" spans="1:2" ht="15.75" customHeight="1" x14ac:dyDescent="0.25"/>
    <row r="139" spans="1:2" ht="15.75" customHeight="1" x14ac:dyDescent="0.25"/>
    <row r="140" spans="1:2" ht="15.75" customHeight="1" x14ac:dyDescent="0.25"/>
    <row r="141" spans="1:2" ht="15.75" customHeight="1" x14ac:dyDescent="0.25"/>
    <row r="142" spans="1:2" ht="15.75" customHeight="1" x14ac:dyDescent="0.25"/>
    <row r="143" spans="1:2" ht="15.75" customHeight="1" x14ac:dyDescent="0.25"/>
    <row r="144" spans="1:2" ht="15.75" customHeight="1" x14ac:dyDescent="0.25"/>
    <row r="145" spans="1:1" ht="15.75" customHeight="1" x14ac:dyDescent="0.25"/>
    <row r="146" spans="1:1" ht="15.75" customHeight="1" x14ac:dyDescent="0.25"/>
    <row r="147" spans="1:1" ht="15.75" customHeight="1" x14ac:dyDescent="0.25"/>
    <row r="148" spans="1:1" ht="15.75" customHeight="1" x14ac:dyDescent="0.25"/>
    <row r="149" spans="1:1" ht="15.75" customHeight="1" x14ac:dyDescent="0.25">
      <c r="A149" s="51"/>
    </row>
    <row r="150" spans="1:1" ht="15.75" customHeight="1" x14ac:dyDescent="0.25"/>
    <row r="151" spans="1:1" ht="15.75" customHeight="1" x14ac:dyDescent="0.25"/>
    <row r="152" spans="1:1" ht="15.75" customHeight="1" x14ac:dyDescent="0.25"/>
    <row r="153" spans="1:1" ht="15.75" customHeight="1" x14ac:dyDescent="0.25"/>
    <row r="154" spans="1:1" ht="15.75" customHeight="1" x14ac:dyDescent="0.25"/>
    <row r="155" spans="1:1" ht="15.75" customHeight="1" x14ac:dyDescent="0.25"/>
    <row r="156" spans="1:1" ht="15.75" customHeight="1" x14ac:dyDescent="0.25"/>
    <row r="157" spans="1:1" ht="15.75" customHeight="1" x14ac:dyDescent="0.25"/>
    <row r="158" spans="1:1" ht="15.75" customHeight="1" x14ac:dyDescent="0.25"/>
    <row r="159" spans="1:1" ht="15.75" customHeight="1" x14ac:dyDescent="0.25"/>
    <row r="160" spans="1:1" ht="15.75" customHeight="1" x14ac:dyDescent="0.25"/>
    <row r="161" customFormat="1" ht="15.75" customHeight="1" x14ac:dyDescent="0.25"/>
    <row r="162" customFormat="1" ht="15.75" customHeight="1" x14ac:dyDescent="0.25"/>
    <row r="163" customFormat="1" ht="15.75" customHeight="1" x14ac:dyDescent="0.25"/>
    <row r="164" customFormat="1" ht="15.75" customHeight="1" x14ac:dyDescent="0.25"/>
    <row r="165" customFormat="1" ht="15.75" customHeight="1" x14ac:dyDescent="0.25"/>
    <row r="166" customFormat="1" ht="15.75" customHeight="1" x14ac:dyDescent="0.25"/>
    <row r="167" customFormat="1" ht="15.75" customHeight="1" x14ac:dyDescent="0.25"/>
    <row r="168" customFormat="1" ht="15.75" customHeight="1" x14ac:dyDescent="0.25"/>
    <row r="169" customFormat="1" ht="15.75" customHeight="1" x14ac:dyDescent="0.25"/>
    <row r="170" customFormat="1" ht="15.75" customHeight="1" x14ac:dyDescent="0.25"/>
    <row r="171" customFormat="1" ht="15.75" customHeight="1" x14ac:dyDescent="0.25"/>
    <row r="172" customFormat="1" ht="15.75" customHeight="1" x14ac:dyDescent="0.25"/>
    <row r="173" customFormat="1" ht="15.75" customHeight="1" x14ac:dyDescent="0.25"/>
    <row r="174" customFormat="1" ht="15.75" customHeight="1" x14ac:dyDescent="0.25"/>
    <row r="175" customFormat="1" ht="15.75" customHeight="1" x14ac:dyDescent="0.25"/>
    <row r="176" customFormat="1" ht="15.75" customHeight="1" x14ac:dyDescent="0.25"/>
    <row r="177" customFormat="1" ht="15.75" customHeight="1" x14ac:dyDescent="0.25"/>
    <row r="178" customFormat="1" ht="15.75" customHeight="1" x14ac:dyDescent="0.25"/>
    <row r="179" customFormat="1" ht="15.75" customHeight="1" x14ac:dyDescent="0.25"/>
    <row r="180" customFormat="1" ht="15.75" customHeight="1" x14ac:dyDescent="0.25"/>
    <row r="181" customFormat="1" ht="15.75" customHeight="1" x14ac:dyDescent="0.25"/>
    <row r="182" customFormat="1" ht="15.75" customHeight="1" x14ac:dyDescent="0.25"/>
    <row r="183" customFormat="1" ht="15.75" customHeight="1" x14ac:dyDescent="0.25"/>
    <row r="184" customFormat="1" ht="15.75" customHeight="1" x14ac:dyDescent="0.25"/>
    <row r="185" customFormat="1" ht="15.75" customHeight="1" x14ac:dyDescent="0.25"/>
    <row r="186" customFormat="1" ht="15.75" customHeight="1" x14ac:dyDescent="0.25"/>
    <row r="187" customFormat="1" ht="15.75" customHeight="1" x14ac:dyDescent="0.25"/>
    <row r="188" customFormat="1" ht="15.75" customHeight="1" x14ac:dyDescent="0.25"/>
    <row r="189" customFormat="1" ht="15.75" customHeight="1" x14ac:dyDescent="0.25"/>
    <row r="190" customFormat="1" ht="15.75" customHeight="1" x14ac:dyDescent="0.25"/>
    <row r="191" customFormat="1" ht="15.75" customHeight="1" x14ac:dyDescent="0.25"/>
    <row r="192" customFormat="1" ht="15.75" customHeight="1" x14ac:dyDescent="0.25"/>
    <row r="193" customFormat="1" ht="15.75" customHeight="1" x14ac:dyDescent="0.25"/>
    <row r="194" customFormat="1" ht="15.75" customHeight="1" x14ac:dyDescent="0.25"/>
    <row r="195" customFormat="1" ht="15.75" customHeight="1" x14ac:dyDescent="0.25"/>
    <row r="196" customFormat="1" ht="15.75" customHeight="1" x14ac:dyDescent="0.25"/>
    <row r="197" customFormat="1" ht="15.75" customHeight="1" x14ac:dyDescent="0.25"/>
    <row r="198" customFormat="1" ht="15.75" customHeight="1" x14ac:dyDescent="0.25"/>
    <row r="199" customFormat="1" ht="15.75" customHeight="1" x14ac:dyDescent="0.25"/>
    <row r="200" customFormat="1" ht="15.75" customHeight="1" x14ac:dyDescent="0.25"/>
    <row r="201" customFormat="1" ht="15.75" customHeight="1" x14ac:dyDescent="0.25"/>
    <row r="202" customFormat="1" ht="15.75" customHeight="1" x14ac:dyDescent="0.25"/>
    <row r="203" customFormat="1" ht="15.75" customHeight="1" x14ac:dyDescent="0.25"/>
    <row r="204" customFormat="1" ht="15.75" customHeight="1" x14ac:dyDescent="0.25"/>
    <row r="205" customFormat="1" ht="15.75" customHeight="1" x14ac:dyDescent="0.25"/>
    <row r="206" customFormat="1" ht="15.75" customHeight="1" x14ac:dyDescent="0.25"/>
    <row r="207" customFormat="1" ht="15.75" customHeight="1" x14ac:dyDescent="0.25"/>
    <row r="208" customFormat="1" ht="15.75" customHeight="1" x14ac:dyDescent="0.25"/>
    <row r="209" customFormat="1" ht="15.75" customHeight="1" x14ac:dyDescent="0.25"/>
    <row r="210" customFormat="1" ht="15.75" customHeight="1" x14ac:dyDescent="0.25"/>
    <row r="211" customFormat="1" ht="15.75" customHeight="1" x14ac:dyDescent="0.25"/>
    <row r="212" customFormat="1" ht="15.75" customHeight="1" x14ac:dyDescent="0.25"/>
    <row r="213" customFormat="1" ht="15.75" customHeight="1" x14ac:dyDescent="0.25"/>
    <row r="214" customFormat="1" ht="15.75" customHeight="1" x14ac:dyDescent="0.25"/>
    <row r="215" customFormat="1" ht="15.75" customHeight="1" x14ac:dyDescent="0.25"/>
    <row r="216" customFormat="1" ht="15.75" customHeight="1" x14ac:dyDescent="0.25"/>
    <row r="217" customFormat="1" ht="15.75" customHeight="1" x14ac:dyDescent="0.25"/>
    <row r="218" customFormat="1" ht="15.75" customHeight="1" x14ac:dyDescent="0.25"/>
    <row r="219" customFormat="1" ht="15.75" customHeight="1" x14ac:dyDescent="0.25"/>
    <row r="220" customFormat="1" ht="15.75" customHeight="1" x14ac:dyDescent="0.25"/>
    <row r="221" customFormat="1" ht="15.75" customHeight="1" x14ac:dyDescent="0.25"/>
    <row r="222" customFormat="1" ht="15.75" customHeight="1" x14ac:dyDescent="0.25"/>
    <row r="223" customFormat="1" ht="15.75" customHeight="1" x14ac:dyDescent="0.25"/>
    <row r="224" customFormat="1" ht="15.75" customHeight="1" x14ac:dyDescent="0.25"/>
    <row r="225" customFormat="1" ht="15.75" customHeight="1" x14ac:dyDescent="0.25"/>
    <row r="226" customFormat="1" ht="15.75" customHeight="1" x14ac:dyDescent="0.25"/>
    <row r="227" customFormat="1" ht="15.75" customHeight="1" x14ac:dyDescent="0.25"/>
    <row r="228" customFormat="1" ht="15.75" customHeight="1" x14ac:dyDescent="0.25"/>
    <row r="229" customFormat="1" ht="15.75" customHeight="1" x14ac:dyDescent="0.25"/>
    <row r="230" customFormat="1" ht="15.75" customHeight="1" x14ac:dyDescent="0.25"/>
    <row r="231" customFormat="1" ht="15.75" customHeight="1" x14ac:dyDescent="0.25"/>
    <row r="232" customFormat="1" ht="15.75" customHeight="1" x14ac:dyDescent="0.25"/>
    <row r="233" customFormat="1" ht="15.75" customHeight="1" x14ac:dyDescent="0.25"/>
    <row r="234" customFormat="1" ht="15.75" customHeight="1" x14ac:dyDescent="0.25"/>
    <row r="235" customFormat="1" ht="15.75" customHeight="1" x14ac:dyDescent="0.25"/>
    <row r="236" customFormat="1" ht="15.75" customHeight="1" x14ac:dyDescent="0.25"/>
    <row r="237" customFormat="1" ht="15.75" customHeight="1" x14ac:dyDescent="0.25"/>
    <row r="238" customFormat="1" ht="15.75" customHeight="1" x14ac:dyDescent="0.25"/>
    <row r="239" customFormat="1" ht="15.75" customHeight="1" x14ac:dyDescent="0.25"/>
    <row r="240" customFormat="1" ht="15.75" customHeight="1" x14ac:dyDescent="0.25"/>
    <row r="241" customFormat="1" ht="15.75" customHeight="1" x14ac:dyDescent="0.25"/>
    <row r="242" customFormat="1" ht="15.75" customHeight="1" x14ac:dyDescent="0.25"/>
    <row r="243" customFormat="1" ht="15.75" customHeight="1" x14ac:dyDescent="0.25"/>
    <row r="244" customFormat="1" ht="15.75" customHeight="1" x14ac:dyDescent="0.25"/>
    <row r="245" customFormat="1" ht="15.75" customHeight="1" x14ac:dyDescent="0.25"/>
    <row r="246" customFormat="1" ht="15.75" customHeight="1" x14ac:dyDescent="0.25"/>
    <row r="247" customFormat="1" ht="15.75" customHeight="1" x14ac:dyDescent="0.25"/>
    <row r="248" customFormat="1" ht="15.75" customHeight="1" x14ac:dyDescent="0.25"/>
    <row r="249" customFormat="1" ht="15.75" customHeight="1" x14ac:dyDescent="0.25"/>
    <row r="250" customFormat="1" ht="15.75" customHeight="1" x14ac:dyDescent="0.25"/>
    <row r="251" customFormat="1" ht="15.75" customHeight="1" x14ac:dyDescent="0.25"/>
    <row r="252" customFormat="1" ht="15.75" customHeight="1" x14ac:dyDescent="0.25"/>
    <row r="253" customFormat="1" ht="15.75" customHeight="1" x14ac:dyDescent="0.25"/>
    <row r="254" customFormat="1" ht="15.75" customHeight="1" x14ac:dyDescent="0.25"/>
    <row r="255" customFormat="1" ht="15.75" customHeight="1" x14ac:dyDescent="0.25"/>
    <row r="256" customFormat="1" ht="15.75" customHeight="1" x14ac:dyDescent="0.25"/>
    <row r="257" customFormat="1" ht="15.75" customHeight="1" x14ac:dyDescent="0.25"/>
    <row r="258" customFormat="1" ht="15.75" customHeight="1" x14ac:dyDescent="0.25"/>
    <row r="259" customFormat="1" ht="15.75" customHeight="1" x14ac:dyDescent="0.25"/>
    <row r="260" customFormat="1" ht="15.75" customHeight="1" x14ac:dyDescent="0.25"/>
    <row r="261" customFormat="1" ht="15.75" customHeight="1" x14ac:dyDescent="0.25"/>
    <row r="262" customFormat="1" ht="15.75" customHeight="1" x14ac:dyDescent="0.25"/>
    <row r="263" customFormat="1" ht="15.75" customHeight="1" x14ac:dyDescent="0.25"/>
    <row r="264" customFormat="1" ht="15.75" customHeight="1" x14ac:dyDescent="0.25"/>
    <row r="265" customFormat="1" ht="15.75" customHeight="1" x14ac:dyDescent="0.25"/>
    <row r="266" customFormat="1" ht="15.75" customHeight="1" x14ac:dyDescent="0.25"/>
    <row r="267" customFormat="1" ht="15.75" customHeight="1" x14ac:dyDescent="0.25"/>
    <row r="268" customFormat="1" ht="15.75" customHeight="1" x14ac:dyDescent="0.25"/>
    <row r="269" customFormat="1" ht="15.75" customHeight="1" x14ac:dyDescent="0.25"/>
    <row r="270" customFormat="1" ht="15.75" customHeight="1" x14ac:dyDescent="0.25"/>
    <row r="271" customFormat="1" ht="15.75" customHeight="1" x14ac:dyDescent="0.25"/>
    <row r="272" customFormat="1" ht="15.75" customHeight="1" x14ac:dyDescent="0.25"/>
    <row r="273" customFormat="1" ht="15.75" customHeight="1" x14ac:dyDescent="0.25"/>
    <row r="274" customFormat="1" ht="15.75" customHeight="1" x14ac:dyDescent="0.25"/>
    <row r="275" customFormat="1" ht="15.75" customHeight="1" x14ac:dyDescent="0.25"/>
    <row r="276" customFormat="1" ht="15.75" customHeight="1" x14ac:dyDescent="0.25"/>
    <row r="277" customFormat="1" ht="15.75" customHeight="1" x14ac:dyDescent="0.25"/>
    <row r="278" customFormat="1" ht="15.75" customHeight="1" x14ac:dyDescent="0.25"/>
    <row r="279" customFormat="1" ht="15.75" customHeight="1" x14ac:dyDescent="0.25"/>
    <row r="280" customFormat="1" ht="15.75" customHeight="1" x14ac:dyDescent="0.25"/>
    <row r="281" customFormat="1" ht="15.75" customHeight="1" x14ac:dyDescent="0.25"/>
    <row r="282" customFormat="1" ht="15.75" customHeight="1" x14ac:dyDescent="0.25"/>
    <row r="283" customFormat="1" ht="15.75" customHeight="1" x14ac:dyDescent="0.25"/>
    <row r="284" customFormat="1" ht="15.75" customHeight="1" x14ac:dyDescent="0.25"/>
    <row r="285" customFormat="1" ht="15.75" customHeight="1" x14ac:dyDescent="0.25"/>
    <row r="286" customFormat="1" ht="15.75" customHeight="1" x14ac:dyDescent="0.25"/>
    <row r="287" customFormat="1" ht="15.75" customHeight="1" x14ac:dyDescent="0.25"/>
    <row r="288" customFormat="1" ht="15.75" customHeight="1" x14ac:dyDescent="0.25"/>
    <row r="289" customFormat="1" ht="15.75" customHeight="1" x14ac:dyDescent="0.25"/>
    <row r="290" customFormat="1" ht="15.75" customHeight="1" x14ac:dyDescent="0.25"/>
    <row r="291" customFormat="1" ht="15.75" customHeight="1" x14ac:dyDescent="0.25"/>
    <row r="292" customFormat="1" ht="15.75" customHeight="1" x14ac:dyDescent="0.25"/>
    <row r="293" customFormat="1" ht="15.75" customHeight="1" x14ac:dyDescent="0.25"/>
    <row r="294" customFormat="1" ht="15.75" customHeight="1" x14ac:dyDescent="0.25"/>
    <row r="295" customFormat="1" ht="15.75" customHeight="1" x14ac:dyDescent="0.25"/>
    <row r="296" customFormat="1" ht="15.75" customHeight="1" x14ac:dyDescent="0.25"/>
    <row r="297" customFormat="1" ht="15.75" customHeight="1" x14ac:dyDescent="0.25"/>
    <row r="298" customFormat="1" ht="15.75" customHeight="1" x14ac:dyDescent="0.25"/>
    <row r="299" customFormat="1" ht="15.75" customHeight="1" x14ac:dyDescent="0.25"/>
    <row r="300" customFormat="1" ht="15.75" customHeight="1" x14ac:dyDescent="0.25"/>
    <row r="301" customFormat="1" ht="15.75" customHeight="1" x14ac:dyDescent="0.25"/>
    <row r="302" customFormat="1" ht="15.75" customHeight="1" x14ac:dyDescent="0.25"/>
    <row r="303" customFormat="1" ht="15.75" customHeight="1" x14ac:dyDescent="0.25"/>
    <row r="304" customFormat="1" ht="15.75" customHeight="1" x14ac:dyDescent="0.25"/>
    <row r="305" customFormat="1" ht="15.75" customHeight="1" x14ac:dyDescent="0.25"/>
    <row r="306" customFormat="1" ht="15.75" customHeight="1" x14ac:dyDescent="0.25"/>
    <row r="307" customFormat="1" ht="15.75" customHeight="1" x14ac:dyDescent="0.25"/>
    <row r="308" customFormat="1" ht="15.75" customHeight="1" x14ac:dyDescent="0.25"/>
    <row r="309" customFormat="1" ht="15.75" customHeight="1" x14ac:dyDescent="0.25"/>
    <row r="310" customFormat="1" ht="15.75" customHeight="1" x14ac:dyDescent="0.25"/>
    <row r="311" customFormat="1" ht="15.75" customHeight="1" x14ac:dyDescent="0.25"/>
    <row r="312" customFormat="1" ht="15.75" customHeight="1" x14ac:dyDescent="0.25"/>
    <row r="313" customFormat="1" ht="15.75" customHeight="1" x14ac:dyDescent="0.25"/>
    <row r="314" customFormat="1" ht="15.75" customHeight="1" x14ac:dyDescent="0.25"/>
    <row r="315" customFormat="1" ht="15.75" customHeight="1" x14ac:dyDescent="0.25"/>
    <row r="316" customFormat="1" ht="15.75" customHeight="1" x14ac:dyDescent="0.25"/>
    <row r="317" customFormat="1" ht="15.75" customHeight="1" x14ac:dyDescent="0.25"/>
    <row r="318" customFormat="1" ht="15.75" customHeight="1" x14ac:dyDescent="0.25"/>
    <row r="319" customFormat="1" ht="15.75" customHeight="1" x14ac:dyDescent="0.25"/>
    <row r="320" customFormat="1" ht="15.75" customHeight="1" x14ac:dyDescent="0.25"/>
    <row r="321" customFormat="1" ht="15.75" customHeight="1" x14ac:dyDescent="0.25"/>
    <row r="322" customFormat="1" ht="15.75" customHeight="1" x14ac:dyDescent="0.25"/>
    <row r="323" customFormat="1" ht="15.75" customHeight="1" x14ac:dyDescent="0.25"/>
    <row r="324" customFormat="1" ht="15.75" customHeight="1" x14ac:dyDescent="0.25"/>
    <row r="325" customFormat="1" ht="15.75" customHeight="1" x14ac:dyDescent="0.25"/>
    <row r="326" customFormat="1" ht="15.75" customHeight="1" x14ac:dyDescent="0.25"/>
    <row r="327" customFormat="1" ht="15.75" customHeight="1" x14ac:dyDescent="0.25"/>
    <row r="328" customFormat="1" ht="15.75" customHeight="1" x14ac:dyDescent="0.25"/>
    <row r="329" customFormat="1" ht="15.75" customHeight="1" x14ac:dyDescent="0.25"/>
    <row r="330" customFormat="1" ht="15.75" customHeight="1" x14ac:dyDescent="0.25"/>
    <row r="331" customFormat="1" ht="15.75" customHeight="1" x14ac:dyDescent="0.25"/>
    <row r="332" customFormat="1" ht="15.75" customHeight="1" x14ac:dyDescent="0.25"/>
    <row r="333" customFormat="1" ht="15.75" customHeight="1" x14ac:dyDescent="0.25"/>
    <row r="334" customFormat="1" ht="15.75" customHeight="1" x14ac:dyDescent="0.25"/>
    <row r="335" customFormat="1" ht="15.75" customHeight="1" x14ac:dyDescent="0.25"/>
    <row r="336" customFormat="1" ht="15.75" customHeight="1" x14ac:dyDescent="0.25"/>
    <row r="337" customFormat="1" ht="15.75" customHeight="1" x14ac:dyDescent="0.25"/>
    <row r="338" customFormat="1" ht="15.75" customHeight="1" x14ac:dyDescent="0.25"/>
    <row r="339" customFormat="1" ht="15.75" customHeight="1" x14ac:dyDescent="0.25"/>
    <row r="340" customFormat="1" ht="15.75" customHeight="1" x14ac:dyDescent="0.25"/>
    <row r="341" customFormat="1" ht="15.75" customHeight="1" x14ac:dyDescent="0.25"/>
    <row r="342" customFormat="1" ht="15.75" customHeight="1" x14ac:dyDescent="0.25"/>
    <row r="343" customFormat="1" ht="15.75" customHeight="1" x14ac:dyDescent="0.25"/>
    <row r="344" customFormat="1" ht="15.75" customHeight="1" x14ac:dyDescent="0.25"/>
    <row r="345" customFormat="1" ht="15.75" customHeight="1" x14ac:dyDescent="0.25"/>
    <row r="346" customFormat="1" ht="15.75" customHeight="1" x14ac:dyDescent="0.25"/>
    <row r="347" customFormat="1" ht="15.75" customHeight="1" x14ac:dyDescent="0.25"/>
    <row r="348" customFormat="1" ht="15.75" customHeight="1" x14ac:dyDescent="0.25"/>
    <row r="349" customFormat="1" ht="15.75" customHeight="1" x14ac:dyDescent="0.25"/>
    <row r="350" customFormat="1" ht="15.75" customHeight="1" x14ac:dyDescent="0.25"/>
    <row r="351" customFormat="1" ht="15.75" customHeight="1" x14ac:dyDescent="0.25"/>
    <row r="352" customFormat="1" ht="15.75" customHeight="1" x14ac:dyDescent="0.25"/>
    <row r="353" customFormat="1" ht="15.75" customHeight="1" x14ac:dyDescent="0.25"/>
    <row r="354" customFormat="1" ht="15.75" customHeight="1" x14ac:dyDescent="0.25"/>
    <row r="355" customFormat="1" ht="15.75" customHeight="1" x14ac:dyDescent="0.25"/>
    <row r="356" customFormat="1" ht="15.75" customHeight="1" x14ac:dyDescent="0.25"/>
    <row r="357" customFormat="1" ht="15.75" customHeight="1" x14ac:dyDescent="0.25"/>
    <row r="358" customFormat="1" ht="15.75" customHeight="1" x14ac:dyDescent="0.25"/>
    <row r="359" customFormat="1" ht="15.75" customHeight="1" x14ac:dyDescent="0.25"/>
    <row r="360" customFormat="1" ht="15.75" customHeight="1" x14ac:dyDescent="0.25"/>
    <row r="361" customFormat="1" ht="15.75" customHeight="1" x14ac:dyDescent="0.25"/>
    <row r="362" customFormat="1" ht="15.75" customHeight="1" x14ac:dyDescent="0.25"/>
    <row r="363" customFormat="1" ht="15.75" customHeight="1" x14ac:dyDescent="0.25"/>
    <row r="364" customFormat="1" ht="15.75" customHeight="1" x14ac:dyDescent="0.25"/>
    <row r="365" customFormat="1" ht="15.75" customHeight="1" x14ac:dyDescent="0.25"/>
    <row r="366" customFormat="1" ht="15.75" customHeight="1" x14ac:dyDescent="0.25"/>
    <row r="367" customFormat="1" ht="15.75" customHeight="1" x14ac:dyDescent="0.25"/>
    <row r="368" customFormat="1" ht="15.75" customHeight="1" x14ac:dyDescent="0.25"/>
    <row r="369" customFormat="1" ht="15.75" customHeight="1" x14ac:dyDescent="0.25"/>
    <row r="370" customFormat="1" ht="15.75" customHeight="1" x14ac:dyDescent="0.25"/>
    <row r="371" customFormat="1" ht="15.75" customHeight="1" x14ac:dyDescent="0.25"/>
    <row r="372" customFormat="1" ht="15.75" customHeight="1" x14ac:dyDescent="0.25"/>
    <row r="373" customFormat="1" ht="15.75" customHeight="1" x14ac:dyDescent="0.25"/>
    <row r="374" customFormat="1" ht="15.75" customHeight="1" x14ac:dyDescent="0.25"/>
    <row r="375" customFormat="1" ht="15.75" customHeight="1" x14ac:dyDescent="0.25"/>
    <row r="376" customFormat="1" ht="15.75" customHeight="1" x14ac:dyDescent="0.25"/>
    <row r="377" customFormat="1" ht="15.75" customHeight="1" x14ac:dyDescent="0.25"/>
    <row r="378" customFormat="1" ht="15.75" customHeight="1" x14ac:dyDescent="0.25"/>
    <row r="379" customFormat="1" ht="15.75" customHeight="1" x14ac:dyDescent="0.25"/>
    <row r="380" customFormat="1" ht="15.75" customHeight="1" x14ac:dyDescent="0.25"/>
    <row r="381" customFormat="1" ht="15.75" customHeight="1" x14ac:dyDescent="0.25"/>
    <row r="382" customFormat="1" ht="15.75" customHeight="1" x14ac:dyDescent="0.25"/>
    <row r="383" customFormat="1" ht="15.75" customHeight="1" x14ac:dyDescent="0.25"/>
    <row r="384" customFormat="1" ht="15.75" customHeight="1" x14ac:dyDescent="0.25"/>
    <row r="385" customFormat="1" ht="15.75" customHeight="1" x14ac:dyDescent="0.25"/>
    <row r="386" customFormat="1" ht="15.75" customHeight="1" x14ac:dyDescent="0.25"/>
    <row r="387" customFormat="1" ht="15.75" customHeight="1" x14ac:dyDescent="0.25"/>
    <row r="388" customFormat="1" ht="15.75" customHeight="1" x14ac:dyDescent="0.25"/>
    <row r="389" customFormat="1" ht="15.75" customHeight="1" x14ac:dyDescent="0.25"/>
    <row r="390" customFormat="1" ht="15.75" customHeight="1" x14ac:dyDescent="0.25"/>
    <row r="391" customFormat="1" ht="15.75" customHeight="1" x14ac:dyDescent="0.25"/>
    <row r="392" customFormat="1" ht="15.75" customHeight="1" x14ac:dyDescent="0.25"/>
    <row r="393" customFormat="1" ht="15.75" customHeight="1" x14ac:dyDescent="0.25"/>
    <row r="394" customFormat="1" ht="15.75" customHeight="1" x14ac:dyDescent="0.25"/>
    <row r="395" customFormat="1" ht="15.75" customHeight="1" x14ac:dyDescent="0.25"/>
    <row r="396" customFormat="1" ht="15.75" customHeight="1" x14ac:dyDescent="0.25"/>
    <row r="397" customFormat="1" ht="15.75" customHeight="1" x14ac:dyDescent="0.25"/>
    <row r="398" customFormat="1" ht="15.75" customHeight="1" x14ac:dyDescent="0.25"/>
    <row r="399" customFormat="1" ht="15.75" customHeight="1" x14ac:dyDescent="0.25"/>
    <row r="400" customFormat="1" ht="15.75" customHeight="1" x14ac:dyDescent="0.25"/>
    <row r="401" customFormat="1" ht="15.75" customHeight="1" x14ac:dyDescent="0.25"/>
    <row r="402" customFormat="1" ht="15.75" customHeight="1" x14ac:dyDescent="0.25"/>
    <row r="403" customFormat="1" ht="15.75" customHeight="1" x14ac:dyDescent="0.25"/>
    <row r="404" customFormat="1" ht="15.75" customHeight="1" x14ac:dyDescent="0.25"/>
    <row r="405" customFormat="1" ht="15.75" customHeight="1" x14ac:dyDescent="0.25"/>
    <row r="406" customFormat="1" ht="15.75" customHeight="1" x14ac:dyDescent="0.25"/>
    <row r="407" customFormat="1" ht="15.75" customHeight="1" x14ac:dyDescent="0.25"/>
    <row r="408" customFormat="1" ht="15.75" customHeight="1" x14ac:dyDescent="0.25"/>
    <row r="409" customFormat="1" ht="15.75" customHeight="1" x14ac:dyDescent="0.25"/>
    <row r="410" customFormat="1" ht="15.75" customHeight="1" x14ac:dyDescent="0.25"/>
    <row r="411" customFormat="1" ht="15.75" customHeight="1" x14ac:dyDescent="0.25"/>
    <row r="412" customFormat="1" ht="15.75" customHeight="1" x14ac:dyDescent="0.25"/>
    <row r="413" customFormat="1" ht="15.75" customHeight="1" x14ac:dyDescent="0.25"/>
    <row r="414" customFormat="1" ht="15.75" customHeight="1" x14ac:dyDescent="0.25"/>
    <row r="415" customFormat="1" ht="15.75" customHeight="1" x14ac:dyDescent="0.25"/>
    <row r="416" customFormat="1" ht="15.75" customHeight="1" x14ac:dyDescent="0.25"/>
    <row r="417" customFormat="1" ht="15.75" customHeight="1" x14ac:dyDescent="0.25"/>
    <row r="418" customFormat="1" ht="15.75" customHeight="1" x14ac:dyDescent="0.25"/>
    <row r="419" customFormat="1" ht="15.75" customHeight="1" x14ac:dyDescent="0.25"/>
    <row r="420" customFormat="1" ht="15.75" customHeight="1" x14ac:dyDescent="0.25"/>
    <row r="421" customFormat="1" ht="15.75" customHeight="1" x14ac:dyDescent="0.25"/>
    <row r="422" customFormat="1" ht="15.75" customHeight="1" x14ac:dyDescent="0.25"/>
    <row r="423" customFormat="1" ht="15.75" customHeight="1" x14ac:dyDescent="0.25"/>
    <row r="424" customFormat="1" ht="15.75" customHeight="1" x14ac:dyDescent="0.25"/>
    <row r="425" customFormat="1" ht="15.75" customHeight="1" x14ac:dyDescent="0.25"/>
    <row r="426" customFormat="1" ht="15.75" customHeight="1" x14ac:dyDescent="0.25"/>
    <row r="427" customFormat="1" ht="15.75" customHeight="1" x14ac:dyDescent="0.25"/>
    <row r="428" customFormat="1" ht="15.75" customHeight="1" x14ac:dyDescent="0.25"/>
    <row r="429" customFormat="1" ht="15.75" customHeight="1" x14ac:dyDescent="0.25"/>
    <row r="430" customFormat="1" ht="15.75" customHeight="1" x14ac:dyDescent="0.25"/>
    <row r="431" customFormat="1" ht="15.75" customHeight="1" x14ac:dyDescent="0.25"/>
    <row r="432" customFormat="1" ht="15.75" customHeight="1" x14ac:dyDescent="0.25"/>
    <row r="433" customFormat="1" ht="15.75" customHeight="1" x14ac:dyDescent="0.25"/>
    <row r="434" customFormat="1" ht="15.75" customHeight="1" x14ac:dyDescent="0.25"/>
    <row r="435" customFormat="1" ht="15.75" customHeight="1" x14ac:dyDescent="0.25"/>
    <row r="436" customFormat="1" ht="15.75" customHeight="1" x14ac:dyDescent="0.25"/>
    <row r="437" customFormat="1" ht="15.75" customHeight="1" x14ac:dyDescent="0.25"/>
    <row r="438" customFormat="1" ht="15.75" customHeight="1" x14ac:dyDescent="0.25"/>
    <row r="439" customFormat="1" ht="15.75" customHeight="1" x14ac:dyDescent="0.25"/>
    <row r="440" customFormat="1" ht="15.75" customHeight="1" x14ac:dyDescent="0.25"/>
    <row r="441" customFormat="1" ht="15.75" customHeight="1" x14ac:dyDescent="0.25"/>
    <row r="442" customFormat="1" ht="15.75" customHeight="1" x14ac:dyDescent="0.25"/>
    <row r="443" customFormat="1" ht="15.75" customHeight="1" x14ac:dyDescent="0.25"/>
    <row r="444" customFormat="1" ht="15.75" customHeight="1" x14ac:dyDescent="0.25"/>
    <row r="445" customFormat="1" ht="15.75" customHeight="1" x14ac:dyDescent="0.25"/>
    <row r="446" customFormat="1" ht="15.75" customHeight="1" x14ac:dyDescent="0.25"/>
    <row r="447" customFormat="1" ht="15.75" customHeight="1" x14ac:dyDescent="0.25"/>
    <row r="448" customFormat="1" ht="15.75" customHeight="1" x14ac:dyDescent="0.25"/>
    <row r="449" customFormat="1" ht="15.75" customHeight="1" x14ac:dyDescent="0.25"/>
    <row r="450" customFormat="1" ht="15.75" customHeight="1" x14ac:dyDescent="0.25"/>
    <row r="451" customFormat="1" ht="15.75" customHeight="1" x14ac:dyDescent="0.25"/>
    <row r="452" customFormat="1" ht="15.75" customHeight="1" x14ac:dyDescent="0.25"/>
    <row r="453" customFormat="1" ht="15.75" customHeight="1" x14ac:dyDescent="0.25"/>
    <row r="454" customFormat="1" ht="15.75" customHeight="1" x14ac:dyDescent="0.25"/>
    <row r="455" customFormat="1" ht="15.75" customHeight="1" x14ac:dyDescent="0.25"/>
    <row r="456" customFormat="1" ht="15.75" customHeight="1" x14ac:dyDescent="0.25"/>
    <row r="457" customFormat="1" ht="15.75" customHeight="1" x14ac:dyDescent="0.25"/>
    <row r="458" customFormat="1" ht="15.75" customHeight="1" x14ac:dyDescent="0.25"/>
    <row r="459" customFormat="1" ht="15.75" customHeight="1" x14ac:dyDescent="0.25"/>
    <row r="460" customFormat="1" ht="15.75" customHeight="1" x14ac:dyDescent="0.25"/>
    <row r="461" customFormat="1" ht="15.75" customHeight="1" x14ac:dyDescent="0.25"/>
    <row r="462" customFormat="1" ht="15.75" customHeight="1" x14ac:dyDescent="0.25"/>
    <row r="463" customFormat="1" ht="15.75" customHeight="1" x14ac:dyDescent="0.25"/>
    <row r="464" customFormat="1" ht="15.75" customHeight="1" x14ac:dyDescent="0.25"/>
    <row r="465" customFormat="1" ht="15.75" customHeight="1" x14ac:dyDescent="0.25"/>
    <row r="466" customFormat="1" ht="15.75" customHeight="1" x14ac:dyDescent="0.25"/>
    <row r="467" customFormat="1" ht="15.75" customHeight="1" x14ac:dyDescent="0.25"/>
    <row r="468" customFormat="1" ht="15.75" customHeight="1" x14ac:dyDescent="0.25"/>
    <row r="469" customFormat="1" ht="15.75" customHeight="1" x14ac:dyDescent="0.25"/>
    <row r="470" customFormat="1" ht="15.75" customHeight="1" x14ac:dyDescent="0.25"/>
    <row r="471" customFormat="1" ht="15.75" customHeight="1" x14ac:dyDescent="0.25"/>
    <row r="472" customFormat="1" ht="15.75" customHeight="1" x14ac:dyDescent="0.25"/>
    <row r="473" customFormat="1" ht="15.75" customHeight="1" x14ac:dyDescent="0.25"/>
    <row r="474" customFormat="1" ht="15.75" customHeight="1" x14ac:dyDescent="0.25"/>
    <row r="475" customFormat="1" ht="15.75" customHeight="1" x14ac:dyDescent="0.25"/>
    <row r="476" customFormat="1" ht="15.75" customHeight="1" x14ac:dyDescent="0.25"/>
    <row r="477" customFormat="1" ht="15.75" customHeight="1" x14ac:dyDescent="0.25"/>
    <row r="478" customFormat="1" ht="15.75" customHeight="1" x14ac:dyDescent="0.25"/>
    <row r="479" customFormat="1" ht="15.75" customHeight="1" x14ac:dyDescent="0.25"/>
    <row r="480" customFormat="1" ht="15.75" customHeight="1" x14ac:dyDescent="0.25"/>
    <row r="481" customFormat="1" ht="15.75" customHeight="1" x14ac:dyDescent="0.25"/>
    <row r="482" customFormat="1" ht="15.75" customHeight="1" x14ac:dyDescent="0.25"/>
    <row r="483" customFormat="1" ht="15.75" customHeight="1" x14ac:dyDescent="0.25"/>
    <row r="484" customFormat="1" ht="15.75" customHeight="1" x14ac:dyDescent="0.25"/>
    <row r="485" customFormat="1" ht="15.75" customHeight="1" x14ac:dyDescent="0.25"/>
    <row r="486" customFormat="1" ht="15.75" customHeight="1" x14ac:dyDescent="0.25"/>
    <row r="487" customFormat="1" ht="15.75" customHeight="1" x14ac:dyDescent="0.25"/>
    <row r="488" customFormat="1" ht="15.75" customHeight="1" x14ac:dyDescent="0.25"/>
    <row r="489" customFormat="1" ht="15.75" customHeight="1" x14ac:dyDescent="0.25"/>
    <row r="490" customFormat="1" ht="15.75" customHeight="1" x14ac:dyDescent="0.25"/>
    <row r="491" customFormat="1" ht="15.75" customHeight="1" x14ac:dyDescent="0.25"/>
    <row r="492" customFormat="1" ht="15.75" customHeight="1" x14ac:dyDescent="0.25"/>
    <row r="493" customFormat="1" ht="15.75" customHeight="1" x14ac:dyDescent="0.25"/>
    <row r="494" customFormat="1" ht="15.75" customHeight="1" x14ac:dyDescent="0.25"/>
    <row r="495" customFormat="1" ht="15.75" customHeight="1" x14ac:dyDescent="0.25"/>
    <row r="496" customFormat="1" ht="15.75" customHeight="1" x14ac:dyDescent="0.25"/>
    <row r="497" customFormat="1" ht="15.75" customHeight="1" x14ac:dyDescent="0.25"/>
    <row r="498" customFormat="1" ht="15.75" customHeight="1" x14ac:dyDescent="0.25"/>
    <row r="499" customFormat="1" ht="15.75" customHeight="1" x14ac:dyDescent="0.25"/>
    <row r="500" customFormat="1" ht="15.75" customHeight="1" x14ac:dyDescent="0.25"/>
    <row r="501" customFormat="1" ht="15.75" customHeight="1" x14ac:dyDescent="0.25"/>
    <row r="502" customFormat="1" ht="15.75" customHeight="1" x14ac:dyDescent="0.25"/>
    <row r="503" customFormat="1" ht="15.75" customHeight="1" x14ac:dyDescent="0.25"/>
    <row r="504" customFormat="1" ht="15.75" customHeight="1" x14ac:dyDescent="0.25"/>
    <row r="505" customFormat="1" ht="15.75" customHeight="1" x14ac:dyDescent="0.25"/>
    <row r="506" customFormat="1" ht="15.75" customHeight="1" x14ac:dyDescent="0.25"/>
    <row r="507" customFormat="1" ht="15.75" customHeight="1" x14ac:dyDescent="0.25"/>
    <row r="508" customFormat="1" ht="15.75" customHeight="1" x14ac:dyDescent="0.25"/>
    <row r="509" customFormat="1" ht="15.75" customHeight="1" x14ac:dyDescent="0.25"/>
    <row r="510" customFormat="1" ht="15.75" customHeight="1" x14ac:dyDescent="0.25"/>
    <row r="511" customFormat="1" ht="15.75" customHeight="1" x14ac:dyDescent="0.25"/>
    <row r="512" customFormat="1" ht="15.75" customHeight="1" x14ac:dyDescent="0.25"/>
    <row r="513" customFormat="1" ht="15.75" customHeight="1" x14ac:dyDescent="0.25"/>
    <row r="514" customFormat="1" ht="15.75" customHeight="1" x14ac:dyDescent="0.25"/>
    <row r="515" customFormat="1" ht="15.75" customHeight="1" x14ac:dyDescent="0.25"/>
    <row r="516" customFormat="1" ht="15.75" customHeight="1" x14ac:dyDescent="0.25"/>
    <row r="517" customFormat="1" ht="15.75" customHeight="1" x14ac:dyDescent="0.25"/>
    <row r="518" customFormat="1" ht="15.75" customHeight="1" x14ac:dyDescent="0.25"/>
    <row r="519" customFormat="1" ht="15.75" customHeight="1" x14ac:dyDescent="0.25"/>
    <row r="520" customFormat="1" ht="15.75" customHeight="1" x14ac:dyDescent="0.25"/>
    <row r="521" customFormat="1" ht="15.75" customHeight="1" x14ac:dyDescent="0.25"/>
    <row r="522" customFormat="1" ht="15.75" customHeight="1" x14ac:dyDescent="0.25"/>
    <row r="523" customFormat="1" ht="15.75" customHeight="1" x14ac:dyDescent="0.25"/>
    <row r="524" customFormat="1" ht="15.75" customHeight="1" x14ac:dyDescent="0.25"/>
    <row r="525" customFormat="1" ht="15.75" customHeight="1" x14ac:dyDescent="0.25"/>
    <row r="526" customFormat="1" ht="15.75" customHeight="1" x14ac:dyDescent="0.25"/>
    <row r="527" customFormat="1" ht="15.75" customHeight="1" x14ac:dyDescent="0.25"/>
    <row r="528" customFormat="1" ht="15.75" customHeight="1" x14ac:dyDescent="0.25"/>
    <row r="529" customFormat="1" ht="15.75" customHeight="1" x14ac:dyDescent="0.25"/>
    <row r="530" customFormat="1" ht="15.75" customHeight="1" x14ac:dyDescent="0.25"/>
    <row r="531" customFormat="1" ht="15.75" customHeight="1" x14ac:dyDescent="0.25"/>
    <row r="532" customFormat="1" ht="15.75" customHeight="1" x14ac:dyDescent="0.25"/>
    <row r="533" customFormat="1" ht="15.75" customHeight="1" x14ac:dyDescent="0.25"/>
    <row r="534" customFormat="1" ht="15.75" customHeight="1" x14ac:dyDescent="0.25"/>
    <row r="535" customFormat="1" ht="15.75" customHeight="1" x14ac:dyDescent="0.25"/>
    <row r="536" customFormat="1" ht="15.75" customHeight="1" x14ac:dyDescent="0.25"/>
    <row r="537" customFormat="1" ht="15.75" customHeight="1" x14ac:dyDescent="0.25"/>
    <row r="538" customFormat="1" ht="15.75" customHeight="1" x14ac:dyDescent="0.25"/>
    <row r="539" customFormat="1" ht="15.75" customHeight="1" x14ac:dyDescent="0.25"/>
    <row r="540" customFormat="1" ht="15.75" customHeight="1" x14ac:dyDescent="0.25"/>
    <row r="541" customFormat="1" ht="15.75" customHeight="1" x14ac:dyDescent="0.25"/>
    <row r="542" customFormat="1" ht="15.75" customHeight="1" x14ac:dyDescent="0.25"/>
    <row r="543" customFormat="1" ht="15.75" customHeight="1" x14ac:dyDescent="0.25"/>
    <row r="544" customFormat="1" ht="15.75" customHeight="1" x14ac:dyDescent="0.25"/>
    <row r="545" customFormat="1" ht="15.75" customHeight="1" x14ac:dyDescent="0.25"/>
    <row r="546" customFormat="1" ht="15.75" customHeight="1" x14ac:dyDescent="0.25"/>
    <row r="547" customFormat="1" ht="15.75" customHeight="1" x14ac:dyDescent="0.25"/>
    <row r="548" customFormat="1" ht="15.75" customHeight="1" x14ac:dyDescent="0.25"/>
    <row r="549" customFormat="1" ht="15.75" customHeight="1" x14ac:dyDescent="0.25"/>
    <row r="550" customFormat="1" ht="15.75" customHeight="1" x14ac:dyDescent="0.25"/>
    <row r="551" customFormat="1" ht="15.75" customHeight="1" x14ac:dyDescent="0.25"/>
    <row r="552" customFormat="1" ht="15.75" customHeight="1" x14ac:dyDescent="0.25"/>
    <row r="553" customFormat="1" ht="15.75" customHeight="1" x14ac:dyDescent="0.25"/>
    <row r="554" customFormat="1" ht="15.75" customHeight="1" x14ac:dyDescent="0.25"/>
    <row r="555" customFormat="1" ht="15.75" customHeight="1" x14ac:dyDescent="0.25"/>
    <row r="556" customFormat="1" ht="15.75" customHeight="1" x14ac:dyDescent="0.25"/>
    <row r="557" customFormat="1" ht="15.75" customHeight="1" x14ac:dyDescent="0.25"/>
    <row r="558" customFormat="1" ht="15.75" customHeight="1" x14ac:dyDescent="0.25"/>
    <row r="559" customFormat="1" ht="15.75" customHeight="1" x14ac:dyDescent="0.25"/>
    <row r="560" customFormat="1" ht="15.75" customHeight="1" x14ac:dyDescent="0.25"/>
    <row r="561" customFormat="1" ht="15.75" customHeight="1" x14ac:dyDescent="0.25"/>
    <row r="562" customFormat="1" ht="15.75" customHeight="1" x14ac:dyDescent="0.25"/>
    <row r="563" customFormat="1" ht="15.75" customHeight="1" x14ac:dyDescent="0.25"/>
    <row r="564" customFormat="1" ht="15.75" customHeight="1" x14ac:dyDescent="0.25"/>
    <row r="565" customFormat="1" ht="15.75" customHeight="1" x14ac:dyDescent="0.25"/>
    <row r="566" customFormat="1" ht="15.75" customHeight="1" x14ac:dyDescent="0.25"/>
    <row r="567" customFormat="1" ht="15.75" customHeight="1" x14ac:dyDescent="0.25"/>
    <row r="568" customFormat="1" ht="15.75" customHeight="1" x14ac:dyDescent="0.25"/>
    <row r="569" customFormat="1" ht="15.75" customHeight="1" x14ac:dyDescent="0.25"/>
    <row r="570" customFormat="1" ht="15.75" customHeight="1" x14ac:dyDescent="0.25"/>
    <row r="571" customFormat="1" ht="15.75" customHeight="1" x14ac:dyDescent="0.25"/>
    <row r="572" customFormat="1" ht="15.75" customHeight="1" x14ac:dyDescent="0.25"/>
    <row r="573" customFormat="1" ht="15.75" customHeight="1" x14ac:dyDescent="0.25"/>
    <row r="574" customFormat="1" ht="15.75" customHeight="1" x14ac:dyDescent="0.25"/>
    <row r="575" customFormat="1" ht="15.75" customHeight="1" x14ac:dyDescent="0.25"/>
    <row r="576" customFormat="1" ht="15.75" customHeight="1" x14ac:dyDescent="0.25"/>
    <row r="577" customFormat="1" ht="15.75" customHeight="1" x14ac:dyDescent="0.25"/>
    <row r="578" customFormat="1" ht="15.75" customHeight="1" x14ac:dyDescent="0.25"/>
    <row r="579" customFormat="1" ht="15.75" customHeight="1" x14ac:dyDescent="0.25"/>
    <row r="580" customFormat="1" ht="15.75" customHeight="1" x14ac:dyDescent="0.25"/>
    <row r="581" customFormat="1" ht="15.75" customHeight="1" x14ac:dyDescent="0.25"/>
    <row r="582" customFormat="1" ht="15.75" customHeight="1" x14ac:dyDescent="0.25"/>
    <row r="583" customFormat="1" ht="15.75" customHeight="1" x14ac:dyDescent="0.25"/>
    <row r="584" customFormat="1" ht="15.75" customHeight="1" x14ac:dyDescent="0.25"/>
    <row r="585" customFormat="1" ht="15.75" customHeight="1" x14ac:dyDescent="0.25"/>
    <row r="586" customFormat="1" ht="15.75" customHeight="1" x14ac:dyDescent="0.25"/>
    <row r="587" customFormat="1" ht="15.75" customHeight="1" x14ac:dyDescent="0.25"/>
    <row r="588" customFormat="1" ht="15.75" customHeight="1" x14ac:dyDescent="0.25"/>
    <row r="589" customFormat="1" ht="15.75" customHeight="1" x14ac:dyDescent="0.25"/>
    <row r="590" customFormat="1" ht="15.75" customHeight="1" x14ac:dyDescent="0.25"/>
    <row r="591" customFormat="1" ht="15.75" customHeight="1" x14ac:dyDescent="0.25"/>
    <row r="592" customFormat="1" ht="15.75" customHeight="1" x14ac:dyDescent="0.25"/>
    <row r="593" customFormat="1" ht="15.75" customHeight="1" x14ac:dyDescent="0.25"/>
    <row r="594" customFormat="1" ht="15.75" customHeight="1" x14ac:dyDescent="0.25"/>
    <row r="595" customFormat="1" ht="15.75" customHeight="1" x14ac:dyDescent="0.25"/>
    <row r="596" customFormat="1" ht="15.75" customHeight="1" x14ac:dyDescent="0.25"/>
    <row r="597" customFormat="1" ht="15.75" customHeight="1" x14ac:dyDescent="0.25"/>
    <row r="598" customFormat="1" ht="15.75" customHeight="1" x14ac:dyDescent="0.25"/>
    <row r="599" customFormat="1" ht="15.75" customHeight="1" x14ac:dyDescent="0.25"/>
    <row r="600" customFormat="1" ht="15.75" customHeight="1" x14ac:dyDescent="0.25"/>
    <row r="601" customFormat="1" ht="15.75" customHeight="1" x14ac:dyDescent="0.25"/>
    <row r="602" customFormat="1" ht="15.75" customHeight="1" x14ac:dyDescent="0.25"/>
    <row r="603" customFormat="1" ht="15.75" customHeight="1" x14ac:dyDescent="0.25"/>
    <row r="604" customFormat="1" ht="15.75" customHeight="1" x14ac:dyDescent="0.25"/>
    <row r="605" customFormat="1" ht="15.75" customHeight="1" x14ac:dyDescent="0.25"/>
    <row r="606" customFormat="1" ht="15.75" customHeight="1" x14ac:dyDescent="0.25"/>
    <row r="607" customFormat="1" ht="15.75" customHeight="1" x14ac:dyDescent="0.25"/>
    <row r="608" customFormat="1" ht="15.75" customHeight="1" x14ac:dyDescent="0.25"/>
    <row r="609" customFormat="1" ht="15.75" customHeight="1" x14ac:dyDescent="0.25"/>
    <row r="610" customFormat="1" ht="15.75" customHeight="1" x14ac:dyDescent="0.25"/>
    <row r="611" customFormat="1" ht="15.75" customHeight="1" x14ac:dyDescent="0.25"/>
    <row r="612" customFormat="1" ht="15.75" customHeight="1" x14ac:dyDescent="0.25"/>
    <row r="613" customFormat="1" ht="15.75" customHeight="1" x14ac:dyDescent="0.25"/>
    <row r="614" customFormat="1" ht="15.75" customHeight="1" x14ac:dyDescent="0.25"/>
    <row r="615" customFormat="1" ht="15.75" customHeight="1" x14ac:dyDescent="0.25"/>
    <row r="616" customFormat="1" ht="15.75" customHeight="1" x14ac:dyDescent="0.25"/>
    <row r="617" customFormat="1" ht="15.75" customHeight="1" x14ac:dyDescent="0.25"/>
    <row r="618" customFormat="1" ht="15.75" customHeight="1" x14ac:dyDescent="0.25"/>
    <row r="619" customFormat="1" ht="15.75" customHeight="1" x14ac:dyDescent="0.25"/>
    <row r="620" customFormat="1" ht="15.75" customHeight="1" x14ac:dyDescent="0.25"/>
    <row r="621" customFormat="1" ht="15.75" customHeight="1" x14ac:dyDescent="0.25"/>
    <row r="622" customFormat="1" ht="15.75" customHeight="1" x14ac:dyDescent="0.25"/>
    <row r="623" customFormat="1" ht="15.75" customHeight="1" x14ac:dyDescent="0.25"/>
    <row r="624" customFormat="1" ht="15.75" customHeight="1" x14ac:dyDescent="0.25"/>
    <row r="625" customFormat="1" ht="15.75" customHeight="1" x14ac:dyDescent="0.25"/>
    <row r="626" customFormat="1" ht="15.75" customHeight="1" x14ac:dyDescent="0.25"/>
    <row r="627" customFormat="1" ht="15.75" customHeight="1" x14ac:dyDescent="0.25"/>
    <row r="628" customFormat="1" ht="15.75" customHeight="1" x14ac:dyDescent="0.25"/>
    <row r="629" customFormat="1" ht="15.75" customHeight="1" x14ac:dyDescent="0.25"/>
    <row r="630" customFormat="1" ht="15.75" customHeight="1" x14ac:dyDescent="0.25"/>
    <row r="631" customFormat="1" ht="15.75" customHeight="1" x14ac:dyDescent="0.25"/>
    <row r="632" customFormat="1" ht="15.75" customHeight="1" x14ac:dyDescent="0.25"/>
    <row r="633" customFormat="1" ht="15.75" customHeight="1" x14ac:dyDescent="0.25"/>
    <row r="634" customFormat="1" ht="15.75" customHeight="1" x14ac:dyDescent="0.25"/>
    <row r="635" customFormat="1" ht="15.75" customHeight="1" x14ac:dyDescent="0.25"/>
    <row r="636" customFormat="1" ht="15.75" customHeight="1" x14ac:dyDescent="0.25"/>
    <row r="637" customFormat="1" ht="15.75" customHeight="1" x14ac:dyDescent="0.25"/>
    <row r="638" customFormat="1" ht="15.75" customHeight="1" x14ac:dyDescent="0.25"/>
    <row r="639" customFormat="1" ht="15.75" customHeight="1" x14ac:dyDescent="0.25"/>
    <row r="640" customFormat="1" ht="15.75" customHeight="1" x14ac:dyDescent="0.25"/>
    <row r="641" customFormat="1" ht="15.75" customHeight="1" x14ac:dyDescent="0.25"/>
    <row r="642" customFormat="1" ht="15.75" customHeight="1" x14ac:dyDescent="0.25"/>
    <row r="643" customFormat="1" ht="15.75" customHeight="1" x14ac:dyDescent="0.25"/>
    <row r="644" customFormat="1" ht="15.75" customHeight="1" x14ac:dyDescent="0.25"/>
    <row r="645" customFormat="1" ht="15.75" customHeight="1" x14ac:dyDescent="0.25"/>
    <row r="646" customFormat="1" ht="15.75" customHeight="1" x14ac:dyDescent="0.25"/>
    <row r="647" customFormat="1" ht="15.75" customHeight="1" x14ac:dyDescent="0.25"/>
    <row r="648" customFormat="1" ht="15.75" customHeight="1" x14ac:dyDescent="0.25"/>
    <row r="649" customFormat="1" ht="15.75" customHeight="1" x14ac:dyDescent="0.25"/>
    <row r="650" customFormat="1" ht="15.75" customHeight="1" x14ac:dyDescent="0.25"/>
    <row r="651" customFormat="1" ht="15.75" customHeight="1" x14ac:dyDescent="0.25"/>
    <row r="652" customFormat="1" ht="15.75" customHeight="1" x14ac:dyDescent="0.25"/>
    <row r="653" customFormat="1" ht="15.75" customHeight="1" x14ac:dyDescent="0.25"/>
    <row r="654" customFormat="1" ht="15.75" customHeight="1" x14ac:dyDescent="0.25"/>
    <row r="655" customFormat="1" ht="15.75" customHeight="1" x14ac:dyDescent="0.25"/>
    <row r="656" customFormat="1" ht="15.75" customHeight="1" x14ac:dyDescent="0.25"/>
    <row r="657" customFormat="1" ht="15.75" customHeight="1" x14ac:dyDescent="0.25"/>
    <row r="658" customFormat="1" ht="15.75" customHeight="1" x14ac:dyDescent="0.25"/>
    <row r="659" customFormat="1" ht="15.75" customHeight="1" x14ac:dyDescent="0.25"/>
    <row r="660" customFormat="1" ht="15.75" customHeight="1" x14ac:dyDescent="0.25"/>
    <row r="661" customFormat="1" ht="15.75" customHeight="1" x14ac:dyDescent="0.25"/>
    <row r="662" customFormat="1" ht="15.75" customHeight="1" x14ac:dyDescent="0.25"/>
    <row r="663" customFormat="1" ht="15.75" customHeight="1" x14ac:dyDescent="0.25"/>
    <row r="664" customFormat="1" ht="15.75" customHeight="1" x14ac:dyDescent="0.25"/>
    <row r="665" customFormat="1" ht="15.75" customHeight="1" x14ac:dyDescent="0.25"/>
    <row r="666" customFormat="1" ht="15.75" customHeight="1" x14ac:dyDescent="0.25"/>
    <row r="667" customFormat="1" ht="15.75" customHeight="1" x14ac:dyDescent="0.25"/>
    <row r="668" customFormat="1" ht="15.75" customHeight="1" x14ac:dyDescent="0.25"/>
    <row r="669" customFormat="1" ht="15.75" customHeight="1" x14ac:dyDescent="0.25"/>
    <row r="670" customFormat="1" ht="15.75" customHeight="1" x14ac:dyDescent="0.25"/>
    <row r="671" customFormat="1" ht="15.75" customHeight="1" x14ac:dyDescent="0.25"/>
    <row r="672" customFormat="1" ht="15.75" customHeight="1" x14ac:dyDescent="0.25"/>
    <row r="673" customFormat="1" ht="15.75" customHeight="1" x14ac:dyDescent="0.25"/>
    <row r="674" customFormat="1" ht="15.75" customHeight="1" x14ac:dyDescent="0.25"/>
    <row r="675" customFormat="1" ht="15.75" customHeight="1" x14ac:dyDescent="0.25"/>
    <row r="676" customFormat="1" ht="15.75" customHeight="1" x14ac:dyDescent="0.25"/>
    <row r="677" customFormat="1" ht="15.75" customHeight="1" x14ac:dyDescent="0.25"/>
    <row r="678" customFormat="1" ht="15.75" customHeight="1" x14ac:dyDescent="0.25"/>
    <row r="679" customFormat="1" ht="15.75" customHeight="1" x14ac:dyDescent="0.25"/>
    <row r="680" customFormat="1" ht="15.75" customHeight="1" x14ac:dyDescent="0.25"/>
    <row r="681" customFormat="1" ht="15.75" customHeight="1" x14ac:dyDescent="0.25"/>
    <row r="682" customFormat="1" ht="15.75" customHeight="1" x14ac:dyDescent="0.25"/>
    <row r="683" customFormat="1" ht="15.75" customHeight="1" x14ac:dyDescent="0.25"/>
    <row r="684" customFormat="1" ht="15.75" customHeight="1" x14ac:dyDescent="0.25"/>
    <row r="685" customFormat="1" ht="15.75" customHeight="1" x14ac:dyDescent="0.25"/>
    <row r="686" customFormat="1" ht="15.75" customHeight="1" x14ac:dyDescent="0.25"/>
    <row r="687" customFormat="1" ht="15.75" customHeight="1" x14ac:dyDescent="0.25"/>
    <row r="688" customFormat="1" ht="15.75" customHeight="1" x14ac:dyDescent="0.25"/>
    <row r="689" customFormat="1" ht="15.75" customHeight="1" x14ac:dyDescent="0.25"/>
    <row r="690" customFormat="1" ht="15.75" customHeight="1" x14ac:dyDescent="0.25"/>
    <row r="691" customFormat="1" ht="15.75" customHeight="1" x14ac:dyDescent="0.25"/>
    <row r="692" customFormat="1" ht="15.75" customHeight="1" x14ac:dyDescent="0.25"/>
    <row r="693" customFormat="1" ht="15.75" customHeight="1" x14ac:dyDescent="0.25"/>
    <row r="694" customFormat="1" ht="15.75" customHeight="1" x14ac:dyDescent="0.25"/>
    <row r="695" customFormat="1" ht="15.75" customHeight="1" x14ac:dyDescent="0.25"/>
    <row r="696" customFormat="1" ht="15.75" customHeight="1" x14ac:dyDescent="0.25"/>
    <row r="697" customFormat="1" ht="15.75" customHeight="1" x14ac:dyDescent="0.25"/>
    <row r="698" customFormat="1" ht="15.75" customHeight="1" x14ac:dyDescent="0.25"/>
    <row r="699" customFormat="1" ht="15.75" customHeight="1" x14ac:dyDescent="0.25"/>
    <row r="700" customFormat="1" ht="15.75" customHeight="1" x14ac:dyDescent="0.25"/>
    <row r="701" customFormat="1" ht="15.75" customHeight="1" x14ac:dyDescent="0.25"/>
    <row r="702" customFormat="1" ht="15.75" customHeight="1" x14ac:dyDescent="0.25"/>
    <row r="703" customFormat="1" ht="15.75" customHeight="1" x14ac:dyDescent="0.25"/>
    <row r="704" customFormat="1" ht="15.75" customHeight="1" x14ac:dyDescent="0.25"/>
    <row r="705" customFormat="1" ht="15.75" customHeight="1" x14ac:dyDescent="0.25"/>
    <row r="706" customFormat="1" ht="15.75" customHeight="1" x14ac:dyDescent="0.25"/>
    <row r="707" customFormat="1" ht="15.75" customHeight="1" x14ac:dyDescent="0.25"/>
    <row r="708" customFormat="1" ht="15.75" customHeight="1" x14ac:dyDescent="0.25"/>
    <row r="709" customFormat="1" ht="15.75" customHeight="1" x14ac:dyDescent="0.25"/>
    <row r="710" customFormat="1" ht="15.75" customHeight="1" x14ac:dyDescent="0.25"/>
    <row r="711" customFormat="1" ht="15.75" customHeight="1" x14ac:dyDescent="0.25"/>
    <row r="712" customFormat="1" ht="15.75" customHeight="1" x14ac:dyDescent="0.25"/>
    <row r="713" customFormat="1" ht="15.75" customHeight="1" x14ac:dyDescent="0.25"/>
    <row r="714" customFormat="1" ht="15.75" customHeight="1" x14ac:dyDescent="0.25"/>
    <row r="715" customFormat="1" ht="15.75" customHeight="1" x14ac:dyDescent="0.25"/>
    <row r="716" customFormat="1" ht="15.75" customHeight="1" x14ac:dyDescent="0.25"/>
    <row r="717" customFormat="1" ht="15.75" customHeight="1" x14ac:dyDescent="0.25"/>
    <row r="718" customFormat="1" ht="15.75" customHeight="1" x14ac:dyDescent="0.25"/>
    <row r="719" customFormat="1" ht="15.75" customHeight="1" x14ac:dyDescent="0.25"/>
    <row r="720" customFormat="1" ht="15.75" customHeight="1" x14ac:dyDescent="0.25"/>
    <row r="721" customFormat="1" ht="15.75" customHeight="1" x14ac:dyDescent="0.25"/>
    <row r="722" customFormat="1" ht="15.75" customHeight="1" x14ac:dyDescent="0.25"/>
    <row r="723" customFormat="1" ht="15.75" customHeight="1" x14ac:dyDescent="0.25"/>
    <row r="724" customFormat="1" ht="15.75" customHeight="1" x14ac:dyDescent="0.25"/>
    <row r="725" customFormat="1" ht="15.75" customHeight="1" x14ac:dyDescent="0.25"/>
    <row r="726" customFormat="1" ht="15.75" customHeight="1" x14ac:dyDescent="0.25"/>
    <row r="727" customFormat="1" ht="15.75" customHeight="1" x14ac:dyDescent="0.25"/>
    <row r="728" customFormat="1" ht="15.75" customHeight="1" x14ac:dyDescent="0.25"/>
    <row r="729" customFormat="1" ht="15.75" customHeight="1" x14ac:dyDescent="0.25"/>
    <row r="730" customFormat="1" ht="15.75" customHeight="1" x14ac:dyDescent="0.25"/>
    <row r="731" customFormat="1" ht="15.75" customHeight="1" x14ac:dyDescent="0.25"/>
    <row r="732" customFormat="1" ht="15.75" customHeight="1" x14ac:dyDescent="0.25"/>
    <row r="733" customFormat="1" ht="15.75" customHeight="1" x14ac:dyDescent="0.25"/>
    <row r="734" customFormat="1" ht="15.75" customHeight="1" x14ac:dyDescent="0.25"/>
    <row r="735" customFormat="1" ht="15.75" customHeight="1" x14ac:dyDescent="0.25"/>
    <row r="736" customFormat="1" ht="15.75" customHeight="1" x14ac:dyDescent="0.25"/>
    <row r="737" customFormat="1" ht="15.75" customHeight="1" x14ac:dyDescent="0.25"/>
    <row r="738" customFormat="1" ht="15.75" customHeight="1" x14ac:dyDescent="0.25"/>
    <row r="739" customFormat="1" ht="15.75" customHeight="1" x14ac:dyDescent="0.25"/>
    <row r="740" customFormat="1" ht="15.75" customHeight="1" x14ac:dyDescent="0.25"/>
    <row r="741" customFormat="1" ht="15.75" customHeight="1" x14ac:dyDescent="0.25"/>
    <row r="742" customFormat="1" ht="15.75" customHeight="1" x14ac:dyDescent="0.25"/>
    <row r="743" customFormat="1" ht="15.75" customHeight="1" x14ac:dyDescent="0.25"/>
    <row r="744" customFormat="1" ht="15.75" customHeight="1" x14ac:dyDescent="0.25"/>
    <row r="745" customFormat="1" ht="15.75" customHeight="1" x14ac:dyDescent="0.25"/>
    <row r="746" customFormat="1" ht="15.75" customHeight="1" x14ac:dyDescent="0.25"/>
    <row r="747" customFormat="1" ht="15.75" customHeight="1" x14ac:dyDescent="0.25"/>
    <row r="748" customFormat="1" ht="15.75" customHeight="1" x14ac:dyDescent="0.25"/>
    <row r="749" customFormat="1" ht="15.75" customHeight="1" x14ac:dyDescent="0.25"/>
    <row r="750" customFormat="1" ht="15.75" customHeight="1" x14ac:dyDescent="0.25"/>
    <row r="751" customFormat="1" ht="15.75" customHeight="1" x14ac:dyDescent="0.25"/>
    <row r="752" customFormat="1" ht="15.75" customHeight="1" x14ac:dyDescent="0.25"/>
    <row r="753" customFormat="1" ht="15.75" customHeight="1" x14ac:dyDescent="0.25"/>
    <row r="754" customFormat="1" ht="15.75" customHeight="1" x14ac:dyDescent="0.25"/>
    <row r="755" customFormat="1" ht="15.75" customHeight="1" x14ac:dyDescent="0.25"/>
    <row r="756" customFormat="1" ht="15.75" customHeight="1" x14ac:dyDescent="0.25"/>
    <row r="757" customFormat="1" ht="15.75" customHeight="1" x14ac:dyDescent="0.25"/>
    <row r="758" customFormat="1" ht="15.75" customHeight="1" x14ac:dyDescent="0.25"/>
    <row r="759" customFormat="1" ht="15.75" customHeight="1" x14ac:dyDescent="0.25"/>
    <row r="760" customFormat="1" ht="15.75" customHeight="1" x14ac:dyDescent="0.25"/>
    <row r="761" customFormat="1" ht="15.75" customHeight="1" x14ac:dyDescent="0.25"/>
    <row r="762" customFormat="1" ht="15.75" customHeight="1" x14ac:dyDescent="0.25"/>
    <row r="763" customFormat="1" ht="15.75" customHeight="1" x14ac:dyDescent="0.25"/>
    <row r="764" customFormat="1" ht="15.75" customHeight="1" x14ac:dyDescent="0.25"/>
    <row r="765" customFormat="1" ht="15.75" customHeight="1" x14ac:dyDescent="0.25"/>
    <row r="766" customFormat="1" ht="15.75" customHeight="1" x14ac:dyDescent="0.25"/>
    <row r="767" customFormat="1" ht="15.75" customHeight="1" x14ac:dyDescent="0.25"/>
    <row r="768" customFormat="1" ht="15.75" customHeight="1" x14ac:dyDescent="0.25"/>
    <row r="769" customFormat="1" ht="15.75" customHeight="1" x14ac:dyDescent="0.25"/>
    <row r="770" customFormat="1" ht="15.75" customHeight="1" x14ac:dyDescent="0.25"/>
    <row r="771" customFormat="1" ht="15.75" customHeight="1" x14ac:dyDescent="0.25"/>
    <row r="772" customFormat="1" ht="15.75" customHeight="1" x14ac:dyDescent="0.25"/>
    <row r="773" customFormat="1" ht="15.75" customHeight="1" x14ac:dyDescent="0.25"/>
    <row r="774" customFormat="1" ht="15.75" customHeight="1" x14ac:dyDescent="0.25"/>
    <row r="775" customFormat="1" ht="15.75" customHeight="1" x14ac:dyDescent="0.25"/>
    <row r="776" customFormat="1" ht="15.75" customHeight="1" x14ac:dyDescent="0.25"/>
    <row r="777" customFormat="1" ht="15.75" customHeight="1" x14ac:dyDescent="0.25"/>
    <row r="778" customFormat="1" ht="15.75" customHeight="1" x14ac:dyDescent="0.25"/>
    <row r="779" customFormat="1" ht="15.75" customHeight="1" x14ac:dyDescent="0.25"/>
    <row r="780" customFormat="1" ht="15.75" customHeight="1" x14ac:dyDescent="0.25"/>
    <row r="781" customFormat="1" ht="15.75" customHeight="1" x14ac:dyDescent="0.25"/>
    <row r="782" customFormat="1" ht="15.75" customHeight="1" x14ac:dyDescent="0.25"/>
    <row r="783" customFormat="1" ht="15.75" customHeight="1" x14ac:dyDescent="0.25"/>
    <row r="784" customFormat="1" ht="15.75" customHeight="1" x14ac:dyDescent="0.25"/>
    <row r="785" customFormat="1" ht="15.75" customHeight="1" x14ac:dyDescent="0.25"/>
    <row r="786" customFormat="1" ht="15.75" customHeight="1" x14ac:dyDescent="0.25"/>
    <row r="787" customFormat="1" ht="15.75" customHeight="1" x14ac:dyDescent="0.25"/>
    <row r="788" customFormat="1" ht="15.75" customHeight="1" x14ac:dyDescent="0.25"/>
    <row r="789" customFormat="1" ht="15.75" customHeight="1" x14ac:dyDescent="0.25"/>
    <row r="790" customFormat="1" ht="15.75" customHeight="1" x14ac:dyDescent="0.25"/>
    <row r="791" customFormat="1" ht="15.75" customHeight="1" x14ac:dyDescent="0.25"/>
    <row r="792" customFormat="1" ht="15.75" customHeight="1" x14ac:dyDescent="0.25"/>
    <row r="793" customFormat="1" ht="15.75" customHeight="1" x14ac:dyDescent="0.25"/>
    <row r="794" customFormat="1" ht="15.75" customHeight="1" x14ac:dyDescent="0.25"/>
    <row r="795" customFormat="1" ht="15.75" customHeight="1" x14ac:dyDescent="0.25"/>
    <row r="796" customFormat="1" ht="15.75" customHeight="1" x14ac:dyDescent="0.25"/>
    <row r="797" customFormat="1" ht="15.75" customHeight="1" x14ac:dyDescent="0.25"/>
    <row r="798" customFormat="1" ht="15.75" customHeight="1" x14ac:dyDescent="0.25"/>
    <row r="799" customFormat="1" ht="15.75" customHeight="1" x14ac:dyDescent="0.25"/>
    <row r="800" customFormat="1" ht="15.75" customHeight="1" x14ac:dyDescent="0.25"/>
    <row r="801" customFormat="1" ht="15.75" customHeight="1" x14ac:dyDescent="0.25"/>
    <row r="802" customFormat="1" ht="15.75" customHeight="1" x14ac:dyDescent="0.25"/>
    <row r="803" customFormat="1" ht="15.75" customHeight="1" x14ac:dyDescent="0.25"/>
    <row r="804" customFormat="1" ht="15.75" customHeight="1" x14ac:dyDescent="0.25"/>
    <row r="805" customFormat="1" ht="15.75" customHeight="1" x14ac:dyDescent="0.25"/>
    <row r="806" customFormat="1" ht="15.75" customHeight="1" x14ac:dyDescent="0.25"/>
    <row r="807" customFormat="1" ht="15.75" customHeight="1" x14ac:dyDescent="0.25"/>
    <row r="808" customFormat="1" ht="15.75" customHeight="1" x14ac:dyDescent="0.25"/>
    <row r="809" customFormat="1" ht="15.75" customHeight="1" x14ac:dyDescent="0.25"/>
    <row r="810" customFormat="1" ht="15.75" customHeight="1" x14ac:dyDescent="0.25"/>
    <row r="811" customFormat="1" ht="15.75" customHeight="1" x14ac:dyDescent="0.25"/>
    <row r="812" customFormat="1" ht="15.75" customHeight="1" x14ac:dyDescent="0.25"/>
    <row r="813" customFormat="1" ht="15.75" customHeight="1" x14ac:dyDescent="0.25"/>
    <row r="814" customFormat="1" ht="15.75" customHeight="1" x14ac:dyDescent="0.25"/>
    <row r="815" customFormat="1" ht="15.75" customHeight="1" x14ac:dyDescent="0.25"/>
    <row r="816" customFormat="1" ht="15.75" customHeight="1" x14ac:dyDescent="0.25"/>
    <row r="817" customFormat="1" ht="15.75" customHeight="1" x14ac:dyDescent="0.25"/>
    <row r="818" customFormat="1" ht="15.75" customHeight="1" x14ac:dyDescent="0.25"/>
    <row r="819" customFormat="1" ht="15.75" customHeight="1" x14ac:dyDescent="0.25"/>
    <row r="820" customFormat="1" ht="15.75" customHeight="1" x14ac:dyDescent="0.25"/>
    <row r="821" customFormat="1" ht="15.75" customHeight="1" x14ac:dyDescent="0.25"/>
    <row r="822" customFormat="1" ht="15.75" customHeight="1" x14ac:dyDescent="0.25"/>
    <row r="823" customFormat="1" ht="15.75" customHeight="1" x14ac:dyDescent="0.25"/>
    <row r="824" customFormat="1" ht="15.75" customHeight="1" x14ac:dyDescent="0.25"/>
    <row r="825" customFormat="1" ht="15.75" customHeight="1" x14ac:dyDescent="0.25"/>
    <row r="826" customFormat="1" ht="15.75" customHeight="1" x14ac:dyDescent="0.25"/>
    <row r="827" customFormat="1" ht="15.75" customHeight="1" x14ac:dyDescent="0.25"/>
    <row r="828" customFormat="1" ht="15.75" customHeight="1" x14ac:dyDescent="0.25"/>
    <row r="829" customFormat="1" ht="15.75" customHeight="1" x14ac:dyDescent="0.25"/>
    <row r="830" customFormat="1" ht="15.75" customHeight="1" x14ac:dyDescent="0.25"/>
    <row r="831" customFormat="1" ht="15.75" customHeight="1" x14ac:dyDescent="0.25"/>
    <row r="832" customFormat="1" ht="15.75" customHeight="1" x14ac:dyDescent="0.25"/>
    <row r="833" customFormat="1" ht="15.75" customHeight="1" x14ac:dyDescent="0.25"/>
    <row r="834" customFormat="1" ht="15.75" customHeight="1" x14ac:dyDescent="0.25"/>
    <row r="835" customFormat="1" ht="15.75" customHeight="1" x14ac:dyDescent="0.25"/>
    <row r="836" customFormat="1" ht="15.75" customHeight="1" x14ac:dyDescent="0.25"/>
    <row r="837" customFormat="1" ht="15.75" customHeight="1" x14ac:dyDescent="0.25"/>
    <row r="838" customFormat="1" ht="15.75" customHeight="1" x14ac:dyDescent="0.25"/>
    <row r="839" customFormat="1" ht="15.75" customHeight="1" x14ac:dyDescent="0.25"/>
    <row r="840" customFormat="1" ht="15.75" customHeight="1" x14ac:dyDescent="0.25"/>
    <row r="841" customFormat="1" ht="15.75" customHeight="1" x14ac:dyDescent="0.25"/>
    <row r="842" customFormat="1" ht="15.75" customHeight="1" x14ac:dyDescent="0.25"/>
    <row r="843" customFormat="1" ht="15.75" customHeight="1" x14ac:dyDescent="0.25"/>
    <row r="844" customFormat="1" ht="15.75" customHeight="1" x14ac:dyDescent="0.25"/>
    <row r="845" customFormat="1" ht="15.75" customHeight="1" x14ac:dyDescent="0.25"/>
    <row r="846" customFormat="1" ht="15.75" customHeight="1" x14ac:dyDescent="0.25"/>
    <row r="847" customFormat="1" ht="15.75" customHeight="1" x14ac:dyDescent="0.25"/>
    <row r="848" customFormat="1" ht="15.75" customHeight="1" x14ac:dyDescent="0.25"/>
    <row r="849" customFormat="1" ht="15.75" customHeight="1" x14ac:dyDescent="0.25"/>
    <row r="850" customFormat="1" ht="15.75" customHeight="1" x14ac:dyDescent="0.25"/>
    <row r="851" customFormat="1" ht="15.75" customHeight="1" x14ac:dyDescent="0.25"/>
    <row r="852" customFormat="1" ht="15.75" customHeight="1" x14ac:dyDescent="0.25"/>
    <row r="853" customFormat="1" ht="15.75" customHeight="1" x14ac:dyDescent="0.25"/>
    <row r="854" customFormat="1" ht="15.75" customHeight="1" x14ac:dyDescent="0.25"/>
    <row r="855" customFormat="1" ht="15.75" customHeight="1" x14ac:dyDescent="0.25"/>
    <row r="856" customFormat="1" ht="15.75" customHeight="1" x14ac:dyDescent="0.25"/>
    <row r="857" customFormat="1" ht="15.75" customHeight="1" x14ac:dyDescent="0.25"/>
    <row r="858" customFormat="1" ht="15.75" customHeight="1" x14ac:dyDescent="0.25"/>
    <row r="859" customFormat="1" ht="15.75" customHeight="1" x14ac:dyDescent="0.25"/>
    <row r="860" customFormat="1" ht="15.75" customHeight="1" x14ac:dyDescent="0.25"/>
    <row r="861" customFormat="1" ht="15.75" customHeight="1" x14ac:dyDescent="0.25"/>
    <row r="862" customFormat="1" ht="15.75" customHeight="1" x14ac:dyDescent="0.25"/>
    <row r="863" customFormat="1" ht="15.75" customHeight="1" x14ac:dyDescent="0.25"/>
    <row r="864" customFormat="1" ht="15.75" customHeight="1" x14ac:dyDescent="0.25"/>
    <row r="865" customFormat="1" ht="15.75" customHeight="1" x14ac:dyDescent="0.25"/>
    <row r="866" customFormat="1" ht="15.75" customHeight="1" x14ac:dyDescent="0.25"/>
    <row r="867" customFormat="1" ht="15.75" customHeight="1" x14ac:dyDescent="0.25"/>
    <row r="868" customFormat="1" ht="15.75" customHeight="1" x14ac:dyDescent="0.25"/>
    <row r="869" customFormat="1" ht="15.75" customHeight="1" x14ac:dyDescent="0.25"/>
    <row r="870" customFormat="1" ht="15.75" customHeight="1" x14ac:dyDescent="0.25"/>
    <row r="871" customFormat="1" ht="15.75" customHeight="1" x14ac:dyDescent="0.25"/>
    <row r="872" customFormat="1" ht="15.75" customHeight="1" x14ac:dyDescent="0.25"/>
    <row r="873" customFormat="1" ht="15.75" customHeight="1" x14ac:dyDescent="0.25"/>
    <row r="874" customFormat="1" ht="15.75" customHeight="1" x14ac:dyDescent="0.25"/>
    <row r="875" customFormat="1" ht="15.75" customHeight="1" x14ac:dyDescent="0.25"/>
    <row r="876" customFormat="1" ht="15.75" customHeight="1" x14ac:dyDescent="0.25"/>
    <row r="877" customFormat="1" ht="15.75" customHeight="1" x14ac:dyDescent="0.25"/>
    <row r="878" customFormat="1" ht="15.75" customHeight="1" x14ac:dyDescent="0.25"/>
    <row r="879" customFormat="1" ht="15.75" customHeight="1" x14ac:dyDescent="0.25"/>
    <row r="880" customFormat="1" ht="15.75" customHeight="1" x14ac:dyDescent="0.25"/>
    <row r="881" customFormat="1" ht="15.75" customHeight="1" x14ac:dyDescent="0.25"/>
    <row r="882" customFormat="1" ht="15.75" customHeight="1" x14ac:dyDescent="0.25"/>
    <row r="883" customFormat="1" ht="15.75" customHeight="1" x14ac:dyDescent="0.25"/>
    <row r="884" customFormat="1" ht="15.75" customHeight="1" x14ac:dyDescent="0.25"/>
    <row r="885" customFormat="1" ht="15.75" customHeight="1" x14ac:dyDescent="0.25"/>
    <row r="886" customFormat="1" ht="15.75" customHeight="1" x14ac:dyDescent="0.25"/>
    <row r="887" customFormat="1" ht="15.75" customHeight="1" x14ac:dyDescent="0.25"/>
    <row r="888" customFormat="1" ht="15.75" customHeight="1" x14ac:dyDescent="0.25"/>
    <row r="889" customFormat="1" ht="15.75" customHeight="1" x14ac:dyDescent="0.25"/>
    <row r="890" customFormat="1" ht="15.75" customHeight="1" x14ac:dyDescent="0.25"/>
    <row r="891" customFormat="1" ht="15.75" customHeight="1" x14ac:dyDescent="0.25"/>
    <row r="892" customFormat="1" ht="15.75" customHeight="1" x14ac:dyDescent="0.25"/>
    <row r="893" customFormat="1" ht="15.75" customHeight="1" x14ac:dyDescent="0.25"/>
    <row r="894" customFormat="1" ht="15.75" customHeight="1" x14ac:dyDescent="0.25"/>
    <row r="895" customFormat="1" ht="15.75" customHeight="1" x14ac:dyDescent="0.25"/>
    <row r="896" customFormat="1" ht="15.75" customHeight="1" x14ac:dyDescent="0.25"/>
    <row r="897" customFormat="1" ht="15.75" customHeight="1" x14ac:dyDescent="0.25"/>
    <row r="898" customFormat="1" ht="15.75" customHeight="1" x14ac:dyDescent="0.25"/>
    <row r="899" customFormat="1" ht="15.75" customHeight="1" x14ac:dyDescent="0.25"/>
    <row r="900" customFormat="1" ht="15.75" customHeight="1" x14ac:dyDescent="0.25"/>
    <row r="901" customFormat="1" ht="15.75" customHeight="1" x14ac:dyDescent="0.25"/>
    <row r="902" customFormat="1" ht="15.75" customHeight="1" x14ac:dyDescent="0.25"/>
    <row r="903" customFormat="1" ht="15.75" customHeight="1" x14ac:dyDescent="0.25"/>
    <row r="904" customFormat="1" ht="15.75" customHeight="1" x14ac:dyDescent="0.25"/>
    <row r="905" customFormat="1" ht="15.75" customHeight="1" x14ac:dyDescent="0.25"/>
    <row r="906" customFormat="1" ht="15.75" customHeight="1" x14ac:dyDescent="0.25"/>
    <row r="907" customFormat="1" ht="15.75" customHeight="1" x14ac:dyDescent="0.25"/>
    <row r="908" customFormat="1" ht="15.75" customHeight="1" x14ac:dyDescent="0.25"/>
    <row r="909" customFormat="1" ht="15.75" customHeight="1" x14ac:dyDescent="0.25"/>
    <row r="910" customFormat="1" ht="15.75" customHeight="1" x14ac:dyDescent="0.25"/>
    <row r="911" customFormat="1" ht="15.75" customHeight="1" x14ac:dyDescent="0.25"/>
    <row r="912" customFormat="1" ht="15.75" customHeight="1" x14ac:dyDescent="0.25"/>
    <row r="913" customFormat="1" ht="15.75" customHeight="1" x14ac:dyDescent="0.25"/>
    <row r="914" customFormat="1" ht="15.75" customHeight="1" x14ac:dyDescent="0.25"/>
    <row r="915" customFormat="1" ht="15.75" customHeight="1" x14ac:dyDescent="0.25"/>
    <row r="916" customFormat="1" ht="15.75" customHeight="1" x14ac:dyDescent="0.25"/>
    <row r="917" customFormat="1" ht="15.75" customHeight="1" x14ac:dyDescent="0.25"/>
    <row r="918" customFormat="1" ht="15.75" customHeight="1" x14ac:dyDescent="0.25"/>
    <row r="919" customFormat="1" ht="15.75" customHeight="1" x14ac:dyDescent="0.25"/>
    <row r="920" customFormat="1" ht="15.75" customHeight="1" x14ac:dyDescent="0.25"/>
    <row r="921" customFormat="1" ht="15.75" customHeight="1" x14ac:dyDescent="0.25"/>
    <row r="922" customFormat="1" ht="15.75" customHeight="1" x14ac:dyDescent="0.25"/>
    <row r="923" customFormat="1" ht="15.75" customHeight="1" x14ac:dyDescent="0.25"/>
    <row r="924" customFormat="1" ht="15.75" customHeight="1" x14ac:dyDescent="0.25"/>
    <row r="925" customFormat="1" ht="15.75" customHeight="1" x14ac:dyDescent="0.25"/>
    <row r="926" customFormat="1" ht="15.75" customHeight="1" x14ac:dyDescent="0.25"/>
    <row r="927" customFormat="1" ht="15.75" customHeight="1" x14ac:dyDescent="0.25"/>
    <row r="928" customFormat="1" ht="15.75" customHeight="1" x14ac:dyDescent="0.25"/>
    <row r="929" customFormat="1" ht="15.75" customHeight="1" x14ac:dyDescent="0.25"/>
    <row r="930" customFormat="1" ht="15.75" customHeight="1" x14ac:dyDescent="0.25"/>
    <row r="931" customFormat="1" ht="15.75" customHeight="1" x14ac:dyDescent="0.25"/>
    <row r="932" customFormat="1" ht="15.75" customHeight="1" x14ac:dyDescent="0.25"/>
    <row r="933" customFormat="1" ht="15.75" customHeight="1" x14ac:dyDescent="0.25"/>
    <row r="934" customFormat="1" ht="15.75" customHeight="1" x14ac:dyDescent="0.25"/>
    <row r="935" customFormat="1" ht="15.75" customHeight="1" x14ac:dyDescent="0.25"/>
    <row r="936" customFormat="1" ht="15.75" customHeight="1" x14ac:dyDescent="0.25"/>
    <row r="937" customFormat="1" ht="15.75" customHeight="1" x14ac:dyDescent="0.25"/>
    <row r="938" customFormat="1" ht="15.75" customHeight="1" x14ac:dyDescent="0.25"/>
    <row r="939" customFormat="1" ht="15.75" customHeight="1" x14ac:dyDescent="0.25"/>
    <row r="940" customFormat="1" ht="15.75" customHeight="1" x14ac:dyDescent="0.25"/>
    <row r="941" customFormat="1" ht="15.75" customHeight="1" x14ac:dyDescent="0.25"/>
    <row r="942" customFormat="1" ht="15.75" customHeight="1" x14ac:dyDescent="0.25"/>
    <row r="943" customFormat="1" ht="15.75" customHeight="1" x14ac:dyDescent="0.25"/>
    <row r="944" customFormat="1" ht="15.75" customHeight="1" x14ac:dyDescent="0.25"/>
    <row r="945" customFormat="1" ht="15.75" customHeight="1" x14ac:dyDescent="0.25"/>
    <row r="946" customFormat="1" ht="15.75" customHeight="1" x14ac:dyDescent="0.25"/>
    <row r="947" customFormat="1" ht="15.75" customHeight="1" x14ac:dyDescent="0.25"/>
    <row r="948" customFormat="1" ht="15.75" customHeight="1" x14ac:dyDescent="0.25"/>
    <row r="949" customFormat="1" ht="15.75" customHeight="1" x14ac:dyDescent="0.25"/>
    <row r="950" customFormat="1" ht="15.75" customHeight="1" x14ac:dyDescent="0.25"/>
    <row r="951" customFormat="1" ht="15.75" customHeight="1" x14ac:dyDescent="0.25"/>
    <row r="952" customFormat="1" ht="15.75" customHeight="1" x14ac:dyDescent="0.25"/>
    <row r="953" customFormat="1" ht="15.75" customHeight="1" x14ac:dyDescent="0.25"/>
    <row r="954" customFormat="1" ht="15.75" customHeight="1" x14ac:dyDescent="0.25"/>
    <row r="955" customFormat="1" ht="15.75" customHeight="1" x14ac:dyDescent="0.25"/>
    <row r="956" customFormat="1" ht="15.75" customHeight="1" x14ac:dyDescent="0.25"/>
    <row r="957" customFormat="1" ht="15.75" customHeight="1" x14ac:dyDescent="0.25"/>
    <row r="958" customFormat="1" ht="15.75" customHeight="1" x14ac:dyDescent="0.25"/>
    <row r="959" customFormat="1" ht="15.75" customHeight="1" x14ac:dyDescent="0.25"/>
    <row r="960" customFormat="1" ht="15.75" customHeight="1" x14ac:dyDescent="0.25"/>
    <row r="961" customFormat="1" ht="15.75" customHeight="1" x14ac:dyDescent="0.25"/>
    <row r="962" customFormat="1" ht="15.75" customHeight="1" x14ac:dyDescent="0.25"/>
    <row r="963" customFormat="1" ht="15.75" customHeight="1" x14ac:dyDescent="0.25"/>
    <row r="964" customFormat="1" ht="15.75" customHeight="1" x14ac:dyDescent="0.25"/>
    <row r="965" customFormat="1" ht="15.75" customHeight="1" x14ac:dyDescent="0.25"/>
    <row r="966" customFormat="1" ht="15.75" customHeight="1" x14ac:dyDescent="0.25"/>
    <row r="967" customFormat="1" ht="15.75" customHeight="1" x14ac:dyDescent="0.25"/>
    <row r="968" customFormat="1" ht="15.75" customHeight="1" x14ac:dyDescent="0.25"/>
    <row r="969" customFormat="1" ht="15.75" customHeight="1" x14ac:dyDescent="0.25"/>
    <row r="970" customFormat="1" ht="15.75" customHeight="1" x14ac:dyDescent="0.25"/>
    <row r="971" customFormat="1" ht="15.75" customHeight="1" x14ac:dyDescent="0.25"/>
    <row r="972" customFormat="1" ht="15.75" customHeight="1" x14ac:dyDescent="0.25"/>
    <row r="973" customFormat="1" ht="15.75" customHeight="1" x14ac:dyDescent="0.25"/>
    <row r="974" customFormat="1" ht="15.75" customHeight="1" x14ac:dyDescent="0.25"/>
    <row r="975" customFormat="1" ht="15.75" customHeight="1" x14ac:dyDescent="0.25"/>
    <row r="976" customFormat="1" ht="15.75" customHeight="1" x14ac:dyDescent="0.25"/>
    <row r="977" customFormat="1" ht="15.75" customHeight="1" x14ac:dyDescent="0.25"/>
    <row r="978" customFormat="1" ht="15.75" customHeight="1" x14ac:dyDescent="0.25"/>
    <row r="979" customFormat="1" ht="15.75" customHeight="1" x14ac:dyDescent="0.25"/>
    <row r="980" customFormat="1" ht="15.75" customHeight="1" x14ac:dyDescent="0.25"/>
    <row r="981" customFormat="1" ht="15.75" customHeight="1" x14ac:dyDescent="0.25"/>
    <row r="982" customFormat="1" ht="15.75" customHeight="1" x14ac:dyDescent="0.25"/>
    <row r="983" customFormat="1" ht="15.75" customHeight="1" x14ac:dyDescent="0.25"/>
    <row r="984" customFormat="1" ht="15.75" customHeight="1" x14ac:dyDescent="0.25"/>
    <row r="985" customFormat="1" ht="15.75" customHeight="1" x14ac:dyDescent="0.25"/>
    <row r="986" customFormat="1" ht="15.75" customHeight="1" x14ac:dyDescent="0.25"/>
    <row r="987" customFormat="1" ht="15.75" customHeight="1" x14ac:dyDescent="0.25"/>
    <row r="988" customFormat="1" ht="15.75" customHeight="1" x14ac:dyDescent="0.25"/>
    <row r="989" customFormat="1" ht="15.75" customHeight="1" x14ac:dyDescent="0.25"/>
    <row r="990" customFormat="1" ht="15.75" customHeight="1" x14ac:dyDescent="0.25"/>
    <row r="991" customFormat="1" ht="15.75" customHeight="1" x14ac:dyDescent="0.25"/>
    <row r="992" customFormat="1" ht="15.75" customHeight="1" x14ac:dyDescent="0.25"/>
    <row r="993" customFormat="1" ht="15.75" customHeight="1" x14ac:dyDescent="0.25"/>
    <row r="994" customFormat="1" ht="15.75" customHeight="1" x14ac:dyDescent="0.25"/>
    <row r="995" customFormat="1" ht="15.75" customHeight="1" x14ac:dyDescent="0.25"/>
    <row r="996" customFormat="1" ht="15.75" customHeight="1" x14ac:dyDescent="0.25"/>
    <row r="997" customFormat="1" ht="15.75" customHeight="1" x14ac:dyDescent="0.25"/>
    <row r="998" customFormat="1" ht="15.75" customHeight="1" x14ac:dyDescent="0.25"/>
    <row r="999" customFormat="1" ht="15.75" customHeight="1" x14ac:dyDescent="0.25"/>
    <row r="1000" customFormat="1" ht="15.75" customHeight="1" x14ac:dyDescent="0.25"/>
  </sheetData>
  <mergeCells count="4">
    <mergeCell ref="A9:A10"/>
    <mergeCell ref="B72:C72"/>
    <mergeCell ref="D72:E72"/>
    <mergeCell ref="F78:G78"/>
  </mergeCells>
  <printOptions gridLines="1"/>
  <pageMargins left="0.7" right="0.7" top="0.75" bottom="0.75" header="0" footer="0"/>
  <pageSetup paperSize="5" scale="78" fitToHeight="3" orientation="landscape" r:id="rId1"/>
  <rowBreaks count="2" manualBreakCount="2">
    <brk id="34" max="16383" man="1"/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2024</vt:lpstr>
      <vt:lpstr>December 2025</vt:lpstr>
      <vt:lpstr>Variances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 Zinter</dc:creator>
  <cp:lastModifiedBy>Barbara Zinter</cp:lastModifiedBy>
  <cp:lastPrinted>2025-11-03T21:37:51Z</cp:lastPrinted>
  <dcterms:created xsi:type="dcterms:W3CDTF">2014-07-02T16:58:37Z</dcterms:created>
  <dcterms:modified xsi:type="dcterms:W3CDTF">2025-11-03T21:38:43Z</dcterms:modified>
</cp:coreProperties>
</file>